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7.xml" ContentType="application/vnd.openxmlformats-officedocument.drawingml.chartshapes+xml"/>
  <Override PartName="/xl/charts/chart6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pex Learners\Teaching and examining\Students\Cantab Education students\Zack\"/>
    </mc:Choice>
  </mc:AlternateContent>
  <xr:revisionPtr revIDLastSave="0" documentId="13_ncr:1_{4DD1B4AA-D66C-4E9C-8C3B-06052492D4C7}" xr6:coauthVersionLast="47" xr6:coauthVersionMax="47" xr10:uidLastSave="{00000000-0000-0000-0000-000000000000}"/>
  <bookViews>
    <workbookView xWindow="-120" yWindow="-120" windowWidth="29040" windowHeight="15720" firstSheet="3" activeTab="7" xr2:uid="{6798E689-1BEA-4BE9-BC62-A4F500C7539C}"/>
  </bookViews>
  <sheets>
    <sheet name="UK Progressive taxation system" sheetId="1" r:id="rId1"/>
    <sheet name="UK Prog with Laffer -incomplete" sheetId="4" r:id="rId2"/>
    <sheet name="Elasticity of taxable income" sheetId="3" r:id="rId3"/>
    <sheet name="ETI_Laffer_Simple" sheetId="10" r:id="rId4"/>
    <sheet name="ETI_Laffer_Simp_Comp" sheetId="9" r:id="rId5"/>
    <sheet name="Logistic regression example" sheetId="8" r:id="rId6"/>
    <sheet name="ETI_Laffer_Logit_Comp" sheetId="12" r:id="rId7"/>
    <sheet name="Multi-bracket model" sheetId="13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3" l="1"/>
  <c r="M6" i="13"/>
  <c r="L8" i="1"/>
  <c r="K8" i="1"/>
  <c r="H6" i="13"/>
  <c r="I6" i="13" s="1"/>
  <c r="L7" i="13"/>
  <c r="L8" i="13"/>
  <c r="L6" i="13"/>
  <c r="J7" i="13"/>
  <c r="K7" i="13" s="1"/>
  <c r="M7" i="13" s="1"/>
  <c r="J8" i="13"/>
  <c r="K8" i="13" s="1"/>
  <c r="M8" i="13" s="1"/>
  <c r="J6" i="13"/>
  <c r="K6" i="13" s="1"/>
  <c r="H7" i="13"/>
  <c r="I7" i="13" s="1"/>
  <c r="O7" i="13" s="1"/>
  <c r="H8" i="13"/>
  <c r="I8" i="13" s="1"/>
  <c r="T5" i="12"/>
  <c r="T6" i="12" s="1"/>
  <c r="B3" i="8"/>
  <c r="C3" i="8" s="1"/>
  <c r="B2" i="8"/>
  <c r="C2" i="8" s="1"/>
  <c r="B4" i="8"/>
  <c r="C4" i="8" s="1"/>
  <c r="B5" i="8"/>
  <c r="C5" i="8" s="1"/>
  <c r="B6" i="8"/>
  <c r="C6" i="8" s="1"/>
  <c r="B7" i="8"/>
  <c r="C7" i="8" s="1"/>
  <c r="B8" i="8"/>
  <c r="C8" i="8" s="1"/>
  <c r="B9" i="8"/>
  <c r="C9" i="8" s="1"/>
  <c r="B10" i="8"/>
  <c r="C10" i="8" s="1"/>
  <c r="B11" i="8"/>
  <c r="C11" i="8" s="1"/>
  <c r="B12" i="8"/>
  <c r="C12" i="8" s="1"/>
  <c r="B13" i="8"/>
  <c r="C13" i="8" s="1"/>
  <c r="B14" i="8"/>
  <c r="C14" i="8" s="1"/>
  <c r="F40" i="12"/>
  <c r="E40" i="12"/>
  <c r="G40" i="12" s="1"/>
  <c r="H40" i="12" s="1"/>
  <c r="I40" i="12" s="1"/>
  <c r="F39" i="12"/>
  <c r="E39" i="12"/>
  <c r="G39" i="12" s="1"/>
  <c r="H39" i="12" s="1"/>
  <c r="I39" i="12" s="1"/>
  <c r="F38" i="12"/>
  <c r="E38" i="12"/>
  <c r="G38" i="12" s="1"/>
  <c r="H38" i="12" s="1"/>
  <c r="F37" i="12"/>
  <c r="E37" i="12"/>
  <c r="G37" i="12" s="1"/>
  <c r="H37" i="12" s="1"/>
  <c r="I37" i="12" s="1"/>
  <c r="F36" i="12"/>
  <c r="E36" i="12"/>
  <c r="F35" i="12"/>
  <c r="E35" i="12"/>
  <c r="G35" i="12" s="1"/>
  <c r="H35" i="12" s="1"/>
  <c r="I35" i="12" s="1"/>
  <c r="F34" i="12"/>
  <c r="E34" i="12"/>
  <c r="G34" i="12" s="1"/>
  <c r="H34" i="12" s="1"/>
  <c r="F33" i="12"/>
  <c r="E33" i="12"/>
  <c r="G33" i="12" s="1"/>
  <c r="H33" i="12" s="1"/>
  <c r="I33" i="12" s="1"/>
  <c r="F32" i="12"/>
  <c r="E32" i="12"/>
  <c r="F31" i="12"/>
  <c r="E31" i="12"/>
  <c r="F30" i="12"/>
  <c r="E30" i="12"/>
  <c r="F29" i="12"/>
  <c r="G29" i="12" s="1"/>
  <c r="H29" i="12" s="1"/>
  <c r="I29" i="12" s="1"/>
  <c r="E29" i="12"/>
  <c r="F28" i="12"/>
  <c r="E28" i="12"/>
  <c r="G28" i="12" s="1"/>
  <c r="H28" i="12" s="1"/>
  <c r="F27" i="12"/>
  <c r="E27" i="12"/>
  <c r="G27" i="12" s="1"/>
  <c r="H27" i="12" s="1"/>
  <c r="F26" i="12"/>
  <c r="E26" i="12"/>
  <c r="G26" i="12" s="1"/>
  <c r="H26" i="12" s="1"/>
  <c r="F25" i="12"/>
  <c r="E25" i="12"/>
  <c r="G25" i="12" s="1"/>
  <c r="H25" i="12" s="1"/>
  <c r="I25" i="12" s="1"/>
  <c r="F24" i="12"/>
  <c r="E24" i="12"/>
  <c r="G24" i="12" s="1"/>
  <c r="H24" i="12" s="1"/>
  <c r="I24" i="12" s="1"/>
  <c r="F23" i="12"/>
  <c r="E23" i="12"/>
  <c r="G23" i="12" s="1"/>
  <c r="H23" i="12" s="1"/>
  <c r="I23" i="12" s="1"/>
  <c r="F22" i="12"/>
  <c r="E22" i="12"/>
  <c r="G22" i="12" s="1"/>
  <c r="H22" i="12" s="1"/>
  <c r="F21" i="12"/>
  <c r="E21" i="12"/>
  <c r="G21" i="12" s="1"/>
  <c r="H21" i="12" s="1"/>
  <c r="I21" i="12" s="1"/>
  <c r="F20" i="12"/>
  <c r="E20" i="12"/>
  <c r="G20" i="12" s="1"/>
  <c r="H20" i="12" s="1"/>
  <c r="I20" i="12" s="1"/>
  <c r="F19" i="12"/>
  <c r="E19" i="12"/>
  <c r="G19" i="12" s="1"/>
  <c r="H19" i="12" s="1"/>
  <c r="I19" i="12" s="1"/>
  <c r="F18" i="12"/>
  <c r="G18" i="12" s="1"/>
  <c r="H18" i="12" s="1"/>
  <c r="I18" i="12" s="1"/>
  <c r="E18" i="12"/>
  <c r="F17" i="12"/>
  <c r="E17" i="12"/>
  <c r="F16" i="12"/>
  <c r="E16" i="12"/>
  <c r="F15" i="12"/>
  <c r="G15" i="12" s="1"/>
  <c r="H15" i="12" s="1"/>
  <c r="E15" i="12"/>
  <c r="F14" i="12"/>
  <c r="E14" i="12"/>
  <c r="G14" i="12" s="1"/>
  <c r="H14" i="12" s="1"/>
  <c r="F13" i="12"/>
  <c r="E13" i="12"/>
  <c r="F12" i="12"/>
  <c r="E12" i="12"/>
  <c r="F11" i="12"/>
  <c r="E11" i="12"/>
  <c r="G11" i="12" s="1"/>
  <c r="H11" i="12" s="1"/>
  <c r="I11" i="12" s="1"/>
  <c r="F10" i="12"/>
  <c r="G10" i="12" s="1"/>
  <c r="H10" i="12" s="1"/>
  <c r="I10" i="12" s="1"/>
  <c r="E10" i="12"/>
  <c r="F9" i="12"/>
  <c r="E9" i="12"/>
  <c r="F8" i="12"/>
  <c r="E8" i="12"/>
  <c r="F7" i="12"/>
  <c r="E7" i="12"/>
  <c r="G7" i="12" s="1"/>
  <c r="H7" i="12" s="1"/>
  <c r="I7" i="12" s="1"/>
  <c r="F6" i="12"/>
  <c r="E6" i="12"/>
  <c r="F5" i="12"/>
  <c r="E5" i="12"/>
  <c r="J5" i="9"/>
  <c r="K26" i="1"/>
  <c r="K28" i="1"/>
  <c r="C29" i="1"/>
  <c r="J28" i="1"/>
  <c r="H28" i="1"/>
  <c r="F28" i="1"/>
  <c r="D28" i="1"/>
  <c r="J27" i="1"/>
  <c r="I27" i="1"/>
  <c r="F27" i="1"/>
  <c r="D27" i="1"/>
  <c r="J26" i="1"/>
  <c r="I26" i="1"/>
  <c r="F26" i="1"/>
  <c r="D26" i="1"/>
  <c r="J25" i="1"/>
  <c r="F25" i="1"/>
  <c r="D25" i="1"/>
  <c r="D19" i="1"/>
  <c r="G40" i="10"/>
  <c r="H40" i="10" s="1"/>
  <c r="I40" i="10" s="1"/>
  <c r="F40" i="10"/>
  <c r="E40" i="10"/>
  <c r="F39" i="10"/>
  <c r="E39" i="10"/>
  <c r="G39" i="10" s="1"/>
  <c r="H39" i="10" s="1"/>
  <c r="I39" i="10" s="1"/>
  <c r="F38" i="10"/>
  <c r="E38" i="10"/>
  <c r="G38" i="10" s="1"/>
  <c r="H38" i="10" s="1"/>
  <c r="I38" i="10" s="1"/>
  <c r="F37" i="10"/>
  <c r="E37" i="10"/>
  <c r="G37" i="10" s="1"/>
  <c r="H37" i="10" s="1"/>
  <c r="I37" i="10" s="1"/>
  <c r="F36" i="10"/>
  <c r="E36" i="10"/>
  <c r="G36" i="10" s="1"/>
  <c r="H36" i="10" s="1"/>
  <c r="I36" i="10" s="1"/>
  <c r="F35" i="10"/>
  <c r="E35" i="10"/>
  <c r="G35" i="10" s="1"/>
  <c r="H35" i="10" s="1"/>
  <c r="I35" i="10" s="1"/>
  <c r="F34" i="10"/>
  <c r="E34" i="10"/>
  <c r="G34" i="10" s="1"/>
  <c r="H34" i="10" s="1"/>
  <c r="I34" i="10" s="1"/>
  <c r="F33" i="10"/>
  <c r="E33" i="10"/>
  <c r="G33" i="10" s="1"/>
  <c r="H33" i="10" s="1"/>
  <c r="I33" i="10" s="1"/>
  <c r="F32" i="10"/>
  <c r="E32" i="10"/>
  <c r="G32" i="10" s="1"/>
  <c r="H32" i="10" s="1"/>
  <c r="I32" i="10" s="1"/>
  <c r="G31" i="10"/>
  <c r="H31" i="10" s="1"/>
  <c r="I31" i="10" s="1"/>
  <c r="F31" i="10"/>
  <c r="E31" i="10"/>
  <c r="F30" i="10"/>
  <c r="E30" i="10"/>
  <c r="G30" i="10" s="1"/>
  <c r="H30" i="10" s="1"/>
  <c r="I30" i="10" s="1"/>
  <c r="F29" i="10"/>
  <c r="E29" i="10"/>
  <c r="G29" i="10" s="1"/>
  <c r="H29" i="10" s="1"/>
  <c r="I29" i="10" s="1"/>
  <c r="F28" i="10"/>
  <c r="G28" i="10" s="1"/>
  <c r="H28" i="10" s="1"/>
  <c r="I28" i="10" s="1"/>
  <c r="E28" i="10"/>
  <c r="F27" i="10"/>
  <c r="E27" i="10"/>
  <c r="G27" i="10" s="1"/>
  <c r="H27" i="10" s="1"/>
  <c r="I27" i="10" s="1"/>
  <c r="F26" i="10"/>
  <c r="E26" i="10"/>
  <c r="G26" i="10" s="1"/>
  <c r="H26" i="10" s="1"/>
  <c r="I26" i="10" s="1"/>
  <c r="F25" i="10"/>
  <c r="E25" i="10"/>
  <c r="G25" i="10" s="1"/>
  <c r="H25" i="10" s="1"/>
  <c r="I25" i="10" s="1"/>
  <c r="G24" i="10"/>
  <c r="H24" i="10" s="1"/>
  <c r="I24" i="10" s="1"/>
  <c r="F24" i="10"/>
  <c r="E24" i="10"/>
  <c r="F23" i="10"/>
  <c r="E23" i="10"/>
  <c r="G23" i="10" s="1"/>
  <c r="H23" i="10" s="1"/>
  <c r="I23" i="10" s="1"/>
  <c r="F22" i="10"/>
  <c r="E22" i="10"/>
  <c r="G22" i="10" s="1"/>
  <c r="H22" i="10" s="1"/>
  <c r="I22" i="10" s="1"/>
  <c r="F21" i="10"/>
  <c r="E21" i="10"/>
  <c r="G21" i="10" s="1"/>
  <c r="H21" i="10" s="1"/>
  <c r="I21" i="10" s="1"/>
  <c r="F20" i="10"/>
  <c r="E20" i="10"/>
  <c r="G20" i="10" s="1"/>
  <c r="H20" i="10" s="1"/>
  <c r="I20" i="10" s="1"/>
  <c r="F19" i="10"/>
  <c r="E19" i="10"/>
  <c r="G19" i="10" s="1"/>
  <c r="H19" i="10" s="1"/>
  <c r="I19" i="10" s="1"/>
  <c r="F18" i="10"/>
  <c r="E18" i="10"/>
  <c r="G18" i="10" s="1"/>
  <c r="H18" i="10" s="1"/>
  <c r="I18" i="10" s="1"/>
  <c r="F17" i="10"/>
  <c r="E17" i="10"/>
  <c r="G17" i="10" s="1"/>
  <c r="H17" i="10" s="1"/>
  <c r="I17" i="10" s="1"/>
  <c r="F16" i="10"/>
  <c r="E16" i="10"/>
  <c r="G16" i="10" s="1"/>
  <c r="H16" i="10" s="1"/>
  <c r="I16" i="10" s="1"/>
  <c r="G15" i="10"/>
  <c r="H15" i="10" s="1"/>
  <c r="I15" i="10" s="1"/>
  <c r="F15" i="10"/>
  <c r="E15" i="10"/>
  <c r="F14" i="10"/>
  <c r="E14" i="10"/>
  <c r="G14" i="10" s="1"/>
  <c r="H14" i="10" s="1"/>
  <c r="I14" i="10" s="1"/>
  <c r="F13" i="10"/>
  <c r="E13" i="10"/>
  <c r="G13" i="10" s="1"/>
  <c r="H13" i="10" s="1"/>
  <c r="I13" i="10" s="1"/>
  <c r="F12" i="10"/>
  <c r="G12" i="10" s="1"/>
  <c r="H12" i="10" s="1"/>
  <c r="I12" i="10" s="1"/>
  <c r="E12" i="10"/>
  <c r="H11" i="10"/>
  <c r="I11" i="10" s="1"/>
  <c r="G11" i="10"/>
  <c r="F11" i="10"/>
  <c r="E11" i="10"/>
  <c r="F10" i="10"/>
  <c r="E10" i="10"/>
  <c r="G10" i="10" s="1"/>
  <c r="H10" i="10" s="1"/>
  <c r="I10" i="10" s="1"/>
  <c r="F9" i="10"/>
  <c r="E9" i="10"/>
  <c r="G9" i="10" s="1"/>
  <c r="H9" i="10" s="1"/>
  <c r="I9" i="10" s="1"/>
  <c r="G8" i="10"/>
  <c r="H8" i="10" s="1"/>
  <c r="I8" i="10" s="1"/>
  <c r="F8" i="10"/>
  <c r="E8" i="10"/>
  <c r="F7" i="10"/>
  <c r="E7" i="10"/>
  <c r="G7" i="10" s="1"/>
  <c r="H7" i="10" s="1"/>
  <c r="I7" i="10" s="1"/>
  <c r="F6" i="10"/>
  <c r="E6" i="10"/>
  <c r="G6" i="10" s="1"/>
  <c r="H6" i="10" s="1"/>
  <c r="I6" i="10" s="1"/>
  <c r="H5" i="10"/>
  <c r="I5" i="10" s="1"/>
  <c r="G5" i="10"/>
  <c r="F5" i="10"/>
  <c r="E5" i="10"/>
  <c r="V92" i="13" l="1"/>
  <c r="V21" i="13"/>
  <c r="N8" i="13"/>
  <c r="N6" i="13"/>
  <c r="V90" i="13"/>
  <c r="V89" i="13"/>
  <c r="V88" i="13"/>
  <c r="V102" i="13"/>
  <c r="V91" i="13"/>
  <c r="V101" i="13"/>
  <c r="V100" i="13"/>
  <c r="V99" i="13"/>
  <c r="V98" i="13"/>
  <c r="V97" i="13"/>
  <c r="V96" i="13"/>
  <c r="V95" i="13"/>
  <c r="V94" i="13"/>
  <c r="V93" i="13"/>
  <c r="V58" i="13"/>
  <c r="V53" i="13"/>
  <c r="V57" i="13"/>
  <c r="V52" i="13"/>
  <c r="V54" i="13"/>
  <c r="V51" i="13"/>
  <c r="V55" i="13"/>
  <c r="V50" i="13"/>
  <c r="V49" i="13"/>
  <c r="V48" i="13"/>
  <c r="V47" i="13"/>
  <c r="V62" i="13"/>
  <c r="V46" i="13"/>
  <c r="V61" i="13"/>
  <c r="V45" i="13"/>
  <c r="V60" i="13"/>
  <c r="V44" i="13"/>
  <c r="V56" i="13"/>
  <c r="V59" i="13"/>
  <c r="V43" i="13"/>
  <c r="O6" i="13"/>
  <c r="V80" i="13"/>
  <c r="V81" i="13"/>
  <c r="V82" i="13"/>
  <c r="V83" i="13"/>
  <c r="V84" i="13"/>
  <c r="V85" i="13"/>
  <c r="V78" i="13"/>
  <c r="V86" i="13"/>
  <c r="V79" i="13"/>
  <c r="V87" i="13"/>
  <c r="V67" i="13"/>
  <c r="V77" i="13"/>
  <c r="V70" i="13"/>
  <c r="V71" i="13"/>
  <c r="V69" i="13"/>
  <c r="V75" i="13"/>
  <c r="V73" i="13"/>
  <c r="V68" i="13"/>
  <c r="V76" i="13"/>
  <c r="V74" i="13"/>
  <c r="V72" i="13"/>
  <c r="V40" i="13"/>
  <c r="V38" i="13"/>
  <c r="V42" i="13"/>
  <c r="V39" i="13"/>
  <c r="V41" i="13"/>
  <c r="V37" i="13"/>
  <c r="V20" i="13"/>
  <c r="V19" i="13"/>
  <c r="V17" i="13"/>
  <c r="V6" i="13"/>
  <c r="V32" i="13"/>
  <c r="V16" i="13"/>
  <c r="V31" i="13"/>
  <c r="V15" i="13"/>
  <c r="V30" i="13"/>
  <c r="V29" i="13"/>
  <c r="V12" i="13"/>
  <c r="P7" i="13"/>
  <c r="V13" i="13"/>
  <c r="V28" i="13"/>
  <c r="V11" i="13"/>
  <c r="V27" i="13"/>
  <c r="V10" i="13"/>
  <c r="V26" i="13"/>
  <c r="V9" i="13"/>
  <c r="V25" i="13"/>
  <c r="V8" i="13"/>
  <c r="V23" i="13"/>
  <c r="V14" i="13"/>
  <c r="V24" i="13"/>
  <c r="O8" i="13"/>
  <c r="V22" i="13"/>
  <c r="V18" i="13"/>
  <c r="V7" i="13"/>
  <c r="J6" i="12"/>
  <c r="J22" i="12"/>
  <c r="K22" i="12" s="1"/>
  <c r="J38" i="12"/>
  <c r="K38" i="12" s="1"/>
  <c r="J21" i="12"/>
  <c r="K21" i="12" s="1"/>
  <c r="J7" i="12"/>
  <c r="K7" i="12" s="1"/>
  <c r="J23" i="12"/>
  <c r="K23" i="12" s="1"/>
  <c r="J39" i="12"/>
  <c r="K39" i="12" s="1"/>
  <c r="J35" i="12"/>
  <c r="K35" i="12" s="1"/>
  <c r="J8" i="12"/>
  <c r="J24" i="12"/>
  <c r="K24" i="12" s="1"/>
  <c r="J40" i="12"/>
  <c r="K40" i="12" s="1"/>
  <c r="J9" i="12"/>
  <c r="J25" i="12"/>
  <c r="K25" i="12" s="1"/>
  <c r="J5" i="12"/>
  <c r="J10" i="12"/>
  <c r="K10" i="12" s="1"/>
  <c r="J26" i="12"/>
  <c r="K26" i="12" s="1"/>
  <c r="J11" i="12"/>
  <c r="J27" i="12"/>
  <c r="J12" i="12"/>
  <c r="J28" i="12"/>
  <c r="K28" i="12" s="1"/>
  <c r="J13" i="12"/>
  <c r="K13" i="12" s="1"/>
  <c r="J29" i="12"/>
  <c r="K29" i="12" s="1"/>
  <c r="J14" i="12"/>
  <c r="K14" i="12" s="1"/>
  <c r="J30" i="12"/>
  <c r="K30" i="12" s="1"/>
  <c r="J37" i="12"/>
  <c r="K37" i="12" s="1"/>
  <c r="J15" i="12"/>
  <c r="K15" i="12" s="1"/>
  <c r="J31" i="12"/>
  <c r="J16" i="12"/>
  <c r="J32" i="12"/>
  <c r="K32" i="12" s="1"/>
  <c r="J20" i="12"/>
  <c r="K20" i="12" s="1"/>
  <c r="J17" i="12"/>
  <c r="J33" i="12"/>
  <c r="K33" i="12" s="1"/>
  <c r="J18" i="12"/>
  <c r="J34" i="12"/>
  <c r="J36" i="12"/>
  <c r="J19" i="12"/>
  <c r="K34" i="12"/>
  <c r="K18" i="12"/>
  <c r="K11" i="12"/>
  <c r="K27" i="12"/>
  <c r="K19" i="12"/>
  <c r="I34" i="12"/>
  <c r="G32" i="12"/>
  <c r="H32" i="12" s="1"/>
  <c r="I32" i="12" s="1"/>
  <c r="G5" i="12"/>
  <c r="H5" i="12" s="1"/>
  <c r="I5" i="12" s="1"/>
  <c r="G12" i="12"/>
  <c r="H12" i="12" s="1"/>
  <c r="I12" i="12" s="1"/>
  <c r="G6" i="12"/>
  <c r="H6" i="12" s="1"/>
  <c r="I6" i="12" s="1"/>
  <c r="G13" i="12"/>
  <c r="H13" i="12" s="1"/>
  <c r="I13" i="12" s="1"/>
  <c r="G36" i="12"/>
  <c r="H36" i="12" s="1"/>
  <c r="G8" i="12"/>
  <c r="H8" i="12" s="1"/>
  <c r="I8" i="12" s="1"/>
  <c r="G9" i="12"/>
  <c r="H9" i="12" s="1"/>
  <c r="I9" i="12" s="1"/>
  <c r="G16" i="12"/>
  <c r="H16" i="12" s="1"/>
  <c r="I16" i="12" s="1"/>
  <c r="G30" i="12"/>
  <c r="H30" i="12" s="1"/>
  <c r="G17" i="12"/>
  <c r="H17" i="12" s="1"/>
  <c r="G31" i="12"/>
  <c r="H31" i="12" s="1"/>
  <c r="I31" i="12"/>
  <c r="I26" i="12"/>
  <c r="I38" i="12"/>
  <c r="I28" i="12"/>
  <c r="I22" i="12"/>
  <c r="I14" i="12"/>
  <c r="I30" i="12"/>
  <c r="I15" i="12"/>
  <c r="I27" i="12"/>
  <c r="D29" i="1"/>
  <c r="L28" i="1"/>
  <c r="K27" i="1"/>
  <c r="L27" i="1" s="1"/>
  <c r="K25" i="1"/>
  <c r="L25" i="1" s="1"/>
  <c r="L26" i="1"/>
  <c r="L5" i="10"/>
  <c r="L6" i="10" s="1"/>
  <c r="P8" i="13" l="1"/>
  <c r="P6" i="13"/>
  <c r="U49" i="13" s="1"/>
  <c r="U93" i="13"/>
  <c r="U91" i="13"/>
  <c r="U99" i="13"/>
  <c r="U100" i="13"/>
  <c r="U67" i="13"/>
  <c r="U87" i="13"/>
  <c r="U79" i="13"/>
  <c r="U85" i="13"/>
  <c r="U90" i="13"/>
  <c r="U95" i="13"/>
  <c r="U101" i="13"/>
  <c r="U96" i="13"/>
  <c r="U102" i="13"/>
  <c r="U84" i="13"/>
  <c r="U83" i="13"/>
  <c r="U81" i="13"/>
  <c r="U94" i="13"/>
  <c r="U78" i="13"/>
  <c r="U57" i="13"/>
  <c r="U97" i="13"/>
  <c r="U88" i="13"/>
  <c r="U86" i="13"/>
  <c r="U80" i="13"/>
  <c r="U92" i="13"/>
  <c r="U89" i="13"/>
  <c r="U82" i="13"/>
  <c r="U98" i="13"/>
  <c r="U58" i="13"/>
  <c r="U45" i="13"/>
  <c r="U54" i="13"/>
  <c r="U50" i="13"/>
  <c r="U59" i="13"/>
  <c r="U48" i="13"/>
  <c r="U56" i="13"/>
  <c r="U46" i="13"/>
  <c r="U61" i="13"/>
  <c r="U51" i="13"/>
  <c r="U62" i="13"/>
  <c r="U43" i="13"/>
  <c r="U52" i="13"/>
  <c r="U60" i="13"/>
  <c r="U55" i="13"/>
  <c r="U47" i="13"/>
  <c r="U53" i="13"/>
  <c r="U44" i="13"/>
  <c r="U7" i="13"/>
  <c r="U9" i="13"/>
  <c r="U10" i="13"/>
  <c r="U18" i="13"/>
  <c r="U68" i="13"/>
  <c r="U69" i="13"/>
  <c r="U70" i="13"/>
  <c r="U71" i="13"/>
  <c r="U72" i="13"/>
  <c r="U73" i="13"/>
  <c r="U74" i="13"/>
  <c r="U75" i="13"/>
  <c r="U76" i="13"/>
  <c r="U77" i="13"/>
  <c r="U11" i="13"/>
  <c r="U22" i="13"/>
  <c r="U38" i="13"/>
  <c r="U39" i="13"/>
  <c r="U40" i="13"/>
  <c r="U37" i="13"/>
  <c r="U41" i="13"/>
  <c r="U42" i="13"/>
  <c r="U6" i="13"/>
  <c r="U15" i="13"/>
  <c r="U29" i="13"/>
  <c r="U30" i="13"/>
  <c r="R9" i="13"/>
  <c r="U16" i="13"/>
  <c r="U32" i="13"/>
  <c r="U28" i="13"/>
  <c r="U25" i="13"/>
  <c r="U13" i="13"/>
  <c r="U24" i="13"/>
  <c r="U31" i="13"/>
  <c r="U14" i="13"/>
  <c r="U17" i="13"/>
  <c r="U19" i="13"/>
  <c r="U20" i="13"/>
  <c r="U12" i="13"/>
  <c r="U8" i="13"/>
  <c r="U23" i="13"/>
  <c r="U26" i="13"/>
  <c r="U27" i="13"/>
  <c r="U21" i="13"/>
  <c r="K31" i="12"/>
  <c r="K9" i="12"/>
  <c r="I36" i="12"/>
  <c r="K36" i="12"/>
  <c r="K16" i="12"/>
  <c r="K8" i="12"/>
  <c r="K5" i="12"/>
  <c r="K6" i="12"/>
  <c r="I17" i="12"/>
  <c r="K17" i="12"/>
  <c r="K12" i="12"/>
  <c r="Q5" i="12"/>
  <c r="Q6" i="12" s="1"/>
  <c r="L29" i="1"/>
  <c r="J40" i="9"/>
  <c r="F40" i="9"/>
  <c r="E40" i="9"/>
  <c r="G40" i="9" s="1"/>
  <c r="H40" i="9" s="1"/>
  <c r="I40" i="9" s="1"/>
  <c r="J39" i="9"/>
  <c r="F39" i="9"/>
  <c r="E39" i="9"/>
  <c r="G39" i="9" s="1"/>
  <c r="H39" i="9" s="1"/>
  <c r="I39" i="9" s="1"/>
  <c r="J38" i="9"/>
  <c r="F38" i="9"/>
  <c r="E38" i="9"/>
  <c r="G38" i="9" s="1"/>
  <c r="H38" i="9" s="1"/>
  <c r="I38" i="9" s="1"/>
  <c r="J37" i="9"/>
  <c r="F37" i="9"/>
  <c r="E37" i="9"/>
  <c r="G37" i="9" s="1"/>
  <c r="H37" i="9" s="1"/>
  <c r="I37" i="9" s="1"/>
  <c r="J36" i="9"/>
  <c r="F36" i="9"/>
  <c r="G36" i="9" s="1"/>
  <c r="H36" i="9" s="1"/>
  <c r="I36" i="9" s="1"/>
  <c r="E36" i="9"/>
  <c r="J35" i="9"/>
  <c r="K35" i="9" s="1"/>
  <c r="F35" i="9"/>
  <c r="E35" i="9"/>
  <c r="G35" i="9" s="1"/>
  <c r="H35" i="9" s="1"/>
  <c r="I35" i="9" s="1"/>
  <c r="J34" i="9"/>
  <c r="K34" i="9" s="1"/>
  <c r="F34" i="9"/>
  <c r="G34" i="9" s="1"/>
  <c r="H34" i="9" s="1"/>
  <c r="I34" i="9" s="1"/>
  <c r="E34" i="9"/>
  <c r="J33" i="9"/>
  <c r="H33" i="9"/>
  <c r="I33" i="9" s="1"/>
  <c r="G33" i="9"/>
  <c r="F33" i="9"/>
  <c r="E33" i="9"/>
  <c r="J32" i="9"/>
  <c r="F32" i="9"/>
  <c r="E32" i="9"/>
  <c r="G32" i="9" s="1"/>
  <c r="H32" i="9" s="1"/>
  <c r="I32" i="9" s="1"/>
  <c r="J31" i="9"/>
  <c r="F31" i="9"/>
  <c r="E31" i="9"/>
  <c r="G31" i="9" s="1"/>
  <c r="H31" i="9" s="1"/>
  <c r="I31" i="9" s="1"/>
  <c r="J30" i="9"/>
  <c r="F30" i="9"/>
  <c r="G30" i="9" s="1"/>
  <c r="H30" i="9" s="1"/>
  <c r="I30" i="9" s="1"/>
  <c r="E30" i="9"/>
  <c r="J29" i="9"/>
  <c r="G29" i="9"/>
  <c r="H29" i="9" s="1"/>
  <c r="I29" i="9" s="1"/>
  <c r="F29" i="9"/>
  <c r="E29" i="9"/>
  <c r="J28" i="9"/>
  <c r="F28" i="9"/>
  <c r="G28" i="9" s="1"/>
  <c r="H28" i="9" s="1"/>
  <c r="E28" i="9"/>
  <c r="J27" i="9"/>
  <c r="F27" i="9"/>
  <c r="E27" i="9"/>
  <c r="G27" i="9" s="1"/>
  <c r="H27" i="9" s="1"/>
  <c r="J26" i="9"/>
  <c r="F26" i="9"/>
  <c r="E26" i="9"/>
  <c r="G26" i="9" s="1"/>
  <c r="H26" i="9" s="1"/>
  <c r="I26" i="9" s="1"/>
  <c r="J25" i="9"/>
  <c r="F25" i="9"/>
  <c r="E25" i="9"/>
  <c r="G25" i="9" s="1"/>
  <c r="H25" i="9" s="1"/>
  <c r="J24" i="9"/>
  <c r="G24" i="9"/>
  <c r="H24" i="9" s="1"/>
  <c r="I24" i="9" s="1"/>
  <c r="F24" i="9"/>
  <c r="E24" i="9"/>
  <c r="J23" i="9"/>
  <c r="G23" i="9"/>
  <c r="H23" i="9" s="1"/>
  <c r="I23" i="9" s="1"/>
  <c r="F23" i="9"/>
  <c r="E23" i="9"/>
  <c r="J22" i="9"/>
  <c r="F22" i="9"/>
  <c r="E22" i="9"/>
  <c r="G22" i="9" s="1"/>
  <c r="H22" i="9" s="1"/>
  <c r="J21" i="9"/>
  <c r="F21" i="9"/>
  <c r="E21" i="9"/>
  <c r="G21" i="9" s="1"/>
  <c r="H21" i="9" s="1"/>
  <c r="J20" i="9"/>
  <c r="F20" i="9"/>
  <c r="G20" i="9" s="1"/>
  <c r="H20" i="9" s="1"/>
  <c r="E20" i="9"/>
  <c r="J19" i="9"/>
  <c r="F19" i="9"/>
  <c r="E19" i="9"/>
  <c r="G19" i="9" s="1"/>
  <c r="H19" i="9" s="1"/>
  <c r="I19" i="9" s="1"/>
  <c r="J18" i="9"/>
  <c r="G18" i="9"/>
  <c r="H18" i="9" s="1"/>
  <c r="I18" i="9" s="1"/>
  <c r="F18" i="9"/>
  <c r="E18" i="9"/>
  <c r="J17" i="9"/>
  <c r="H17" i="9"/>
  <c r="K17" i="9" s="1"/>
  <c r="G17" i="9"/>
  <c r="F17" i="9"/>
  <c r="E17" i="9"/>
  <c r="J16" i="9"/>
  <c r="F16" i="9"/>
  <c r="E16" i="9"/>
  <c r="G16" i="9" s="1"/>
  <c r="H16" i="9" s="1"/>
  <c r="I16" i="9" s="1"/>
  <c r="J15" i="9"/>
  <c r="F15" i="9"/>
  <c r="E15" i="9"/>
  <c r="G15" i="9" s="1"/>
  <c r="H15" i="9" s="1"/>
  <c r="I15" i="9" s="1"/>
  <c r="J14" i="9"/>
  <c r="K14" i="9" s="1"/>
  <c r="F14" i="9"/>
  <c r="G14" i="9" s="1"/>
  <c r="H14" i="9" s="1"/>
  <c r="I14" i="9" s="1"/>
  <c r="E14" i="9"/>
  <c r="J13" i="9"/>
  <c r="G13" i="9"/>
  <c r="H13" i="9" s="1"/>
  <c r="I13" i="9" s="1"/>
  <c r="F13" i="9"/>
  <c r="E13" i="9"/>
  <c r="J12" i="9"/>
  <c r="F12" i="9"/>
  <c r="G12" i="9" s="1"/>
  <c r="H12" i="9" s="1"/>
  <c r="E12" i="9"/>
  <c r="J11" i="9"/>
  <c r="F11" i="9"/>
  <c r="E11" i="9"/>
  <c r="G11" i="9" s="1"/>
  <c r="H11" i="9" s="1"/>
  <c r="J10" i="9"/>
  <c r="F10" i="9"/>
  <c r="E10" i="9"/>
  <c r="G10" i="9" s="1"/>
  <c r="H10" i="9" s="1"/>
  <c r="I10" i="9" s="1"/>
  <c r="J9" i="9"/>
  <c r="F9" i="9"/>
  <c r="E9" i="9"/>
  <c r="G9" i="9" s="1"/>
  <c r="H9" i="9" s="1"/>
  <c r="J8" i="9"/>
  <c r="G8" i="9"/>
  <c r="H8" i="9" s="1"/>
  <c r="I8" i="9" s="1"/>
  <c r="F8" i="9"/>
  <c r="E8" i="9"/>
  <c r="J7" i="9"/>
  <c r="G7" i="9"/>
  <c r="H7" i="9" s="1"/>
  <c r="I7" i="9" s="1"/>
  <c r="F7" i="9"/>
  <c r="E7" i="9"/>
  <c r="J6" i="9"/>
  <c r="G6" i="9"/>
  <c r="H6" i="9" s="1"/>
  <c r="I6" i="9" s="1"/>
  <c r="F6" i="9"/>
  <c r="E6" i="9"/>
  <c r="F5" i="9"/>
  <c r="E5" i="9"/>
  <c r="G5" i="9" s="1"/>
  <c r="H5" i="9" s="1"/>
  <c r="E13" i="3"/>
  <c r="E14" i="3" s="1"/>
  <c r="E9" i="3"/>
  <c r="C19" i="4"/>
  <c r="J18" i="4"/>
  <c r="K18" i="4" s="1"/>
  <c r="L18" i="4" s="1"/>
  <c r="H18" i="4"/>
  <c r="F18" i="4"/>
  <c r="D18" i="4"/>
  <c r="J17" i="4"/>
  <c r="K17" i="4" s="1"/>
  <c r="L17" i="4" s="1"/>
  <c r="I17" i="4"/>
  <c r="F17" i="4"/>
  <c r="D17" i="4"/>
  <c r="J16" i="4"/>
  <c r="K16" i="4" s="1"/>
  <c r="L16" i="4" s="1"/>
  <c r="I16" i="4"/>
  <c r="F16" i="4"/>
  <c r="D16" i="4"/>
  <c r="J15" i="4"/>
  <c r="K15" i="4" s="1"/>
  <c r="L15" i="4" s="1"/>
  <c r="L19" i="4" s="1"/>
  <c r="F15" i="4"/>
  <c r="D15" i="4"/>
  <c r="D19" i="4" s="1"/>
  <c r="C9" i="4"/>
  <c r="D8" i="4" s="1"/>
  <c r="J8" i="4"/>
  <c r="K8" i="4" s="1"/>
  <c r="L8" i="4" s="1"/>
  <c r="H8" i="4"/>
  <c r="F8" i="4"/>
  <c r="J7" i="4"/>
  <c r="I7" i="4"/>
  <c r="F7" i="4"/>
  <c r="J6" i="4"/>
  <c r="K6" i="4" s="1"/>
  <c r="L6" i="4" s="1"/>
  <c r="I6" i="4"/>
  <c r="F6" i="4"/>
  <c r="K7" i="4" s="1"/>
  <c r="L7" i="4" s="1"/>
  <c r="D6" i="4"/>
  <c r="J5" i="4"/>
  <c r="K5" i="4" s="1"/>
  <c r="L5" i="4" s="1"/>
  <c r="L9" i="4" s="1"/>
  <c r="F5" i="4"/>
  <c r="K6" i="1"/>
  <c r="L6" i="1"/>
  <c r="L7" i="1"/>
  <c r="L5" i="1"/>
  <c r="K7" i="1"/>
  <c r="J18" i="1"/>
  <c r="J16" i="1"/>
  <c r="J17" i="1"/>
  <c r="J15" i="1"/>
  <c r="J6" i="1"/>
  <c r="J7" i="1"/>
  <c r="J8" i="1"/>
  <c r="J5" i="1"/>
  <c r="K5" i="1" s="1"/>
  <c r="I6" i="1"/>
  <c r="I7" i="1"/>
  <c r="I16" i="1"/>
  <c r="I17" i="1"/>
  <c r="C19" i="1"/>
  <c r="D16" i="1" s="1"/>
  <c r="H18" i="1"/>
  <c r="F18" i="1"/>
  <c r="F17" i="1"/>
  <c r="F16" i="1"/>
  <c r="F15" i="1"/>
  <c r="K15" i="1" s="1"/>
  <c r="F5" i="1"/>
  <c r="F7" i="1"/>
  <c r="F8" i="1"/>
  <c r="F6" i="1"/>
  <c r="H8" i="1"/>
  <c r="C9" i="1"/>
  <c r="D8" i="1" s="1"/>
  <c r="X66" i="13" l="1"/>
  <c r="X67" i="13" s="1"/>
  <c r="X36" i="13"/>
  <c r="X37" i="13" s="1"/>
  <c r="X5" i="13"/>
  <c r="X6" i="13" s="1"/>
  <c r="N5" i="12"/>
  <c r="N6" i="12" s="1"/>
  <c r="K36" i="9"/>
  <c r="I22" i="9"/>
  <c r="K22" i="9"/>
  <c r="K32" i="9"/>
  <c r="I12" i="9"/>
  <c r="K12" i="9"/>
  <c r="K8" i="9"/>
  <c r="K13" i="9"/>
  <c r="K37" i="9"/>
  <c r="K28" i="9"/>
  <c r="I28" i="9"/>
  <c r="K5" i="9"/>
  <c r="I5" i="9"/>
  <c r="Q5" i="9" s="1"/>
  <c r="Q6" i="9" s="1"/>
  <c r="K18" i="9"/>
  <c r="K23" i="9"/>
  <c r="K38" i="9"/>
  <c r="K7" i="9"/>
  <c r="K31" i="9"/>
  <c r="K19" i="9"/>
  <c r="K26" i="9"/>
  <c r="K10" i="9"/>
  <c r="K15" i="9"/>
  <c r="K24" i="9"/>
  <c r="K29" i="9"/>
  <c r="K39" i="9"/>
  <c r="K9" i="9"/>
  <c r="I9" i="9"/>
  <c r="K25" i="9"/>
  <c r="I25" i="9"/>
  <c r="K27" i="9"/>
  <c r="I27" i="9"/>
  <c r="K6" i="9"/>
  <c r="K11" i="9"/>
  <c r="I11" i="9"/>
  <c r="K20" i="9"/>
  <c r="I20" i="9"/>
  <c r="K16" i="9"/>
  <c r="K21" i="9"/>
  <c r="I21" i="9"/>
  <c r="K30" i="9"/>
  <c r="K40" i="9"/>
  <c r="K33" i="9"/>
  <c r="I17" i="9"/>
  <c r="E16" i="3"/>
  <c r="E15" i="3"/>
  <c r="D7" i="4"/>
  <c r="D5" i="4"/>
  <c r="D9" i="4" s="1"/>
  <c r="K18" i="1"/>
  <c r="L18" i="1" s="1"/>
  <c r="K16" i="1"/>
  <c r="L16" i="1" s="1"/>
  <c r="K17" i="1"/>
  <c r="L17" i="1" s="1"/>
  <c r="L15" i="1"/>
  <c r="L9" i="1"/>
  <c r="D15" i="1"/>
  <c r="D18" i="1"/>
  <c r="D17" i="1"/>
  <c r="D5" i="1"/>
  <c r="D6" i="1"/>
  <c r="D7" i="1"/>
  <c r="N5" i="9" l="1"/>
  <c r="N6" i="9" s="1"/>
  <c r="L19" i="1"/>
  <c r="D9" i="1"/>
</calcChain>
</file>

<file path=xl/sharedStrings.xml><?xml version="1.0" encoding="utf-8"?>
<sst xmlns="http://schemas.openxmlformats.org/spreadsheetml/2006/main" count="222" uniqueCount="107">
  <si>
    <t>Basic rate</t>
  </si>
  <si>
    <t>Higher rate</t>
  </si>
  <si>
    <t>Additional rate</t>
  </si>
  <si>
    <t>Tax rate</t>
  </si>
  <si>
    <t>Band (UK-wide)</t>
  </si>
  <si>
    <t>Estimated workers (m)</t>
  </si>
  <si>
    <t>Share of workers</t>
  </si>
  <si>
    <t>Total workers</t>
  </si>
  <si>
    <t>Lower bound</t>
  </si>
  <si>
    <t>Upper bound</t>
  </si>
  <si>
    <t>Below personal allowance</t>
  </si>
  <si>
    <t>Average income</t>
  </si>
  <si>
    <t>Total (m)</t>
  </si>
  <si>
    <t>Multiplier</t>
  </si>
  <si>
    <t>Progressive taxation</t>
  </si>
  <si>
    <t>Proportional/flat rate taxation</t>
  </si>
  <si>
    <t>-</t>
  </si>
  <si>
    <t>Ratio (upper:1)</t>
  </si>
  <si>
    <t>Average tax</t>
  </si>
  <si>
    <t>Total tax (m)</t>
  </si>
  <si>
    <t>Current taxable income (base)</t>
  </si>
  <si>
    <t>Y0</t>
  </si>
  <si>
    <t>Elasticity (ETI)</t>
  </si>
  <si>
    <t>e</t>
  </si>
  <si>
    <t>Revenue at new rate</t>
  </si>
  <si>
    <t>R(t)</t>
  </si>
  <si>
    <t>t0</t>
  </si>
  <si>
    <t>Starting rate</t>
  </si>
  <si>
    <t>New rates</t>
  </si>
  <si>
    <t>t</t>
  </si>
  <si>
    <t>Inputs</t>
  </si>
  <si>
    <t>Rate t</t>
  </si>
  <si>
    <t>Net-of-tax (1-t)</t>
  </si>
  <si>
    <t>Baseline net (1-t0)</t>
  </si>
  <si>
    <t>Ratio</t>
  </si>
  <si>
    <t>Y(t) = Y0*(Ratio)^e</t>
  </si>
  <si>
    <t>Revenue t*Y(t)</t>
  </si>
  <si>
    <t>ETI (e)</t>
  </si>
  <si>
    <t>Notes:</t>
  </si>
  <si>
    <t>Reported income for tax</t>
  </si>
  <si>
    <t>Y(t)</t>
  </si>
  <si>
    <t>ETI Laffer Curve – Simple</t>
  </si>
  <si>
    <t>Edit the blue inputs. The chart and peak cells update automatically.</t>
  </si>
  <si>
    <t>Peak</t>
  </si>
  <si>
    <t>Baseline rate t0</t>
  </si>
  <si>
    <t>Max revenue</t>
  </si>
  <si>
    <t>Rate at max</t>
  </si>
  <si>
    <t>• ETI response: Y(t) = Y0 * ((1 - t)/(1 - t0))^e</t>
  </si>
  <si>
    <t>• Revenue: R(t) = t * Y(t)</t>
  </si>
  <si>
    <t>• Try e between 0.2 and 0.7; adjust t0/Y0 to your group or whole-population base.</t>
  </si>
  <si>
    <t>Change in revenue</t>
  </si>
  <si>
    <t>Change in reported income</t>
  </si>
  <si>
    <t>Baseline taxable income Y0 (group, millions)</t>
  </si>
  <si>
    <t>Potential taxation revenue (with change)</t>
  </si>
  <si>
    <t>Regressive rate taxation</t>
  </si>
  <si>
    <t>Baseline compliance (c0)</t>
  </si>
  <si>
    <t>Compliance sensitivty (k)</t>
  </si>
  <si>
    <t>Compliance c(t)</t>
  </si>
  <si>
    <t>Revenue with compliance t*c*Y(t)</t>
  </si>
  <si>
    <t>Max revenue (with compliance)</t>
  </si>
  <si>
    <t>Rate at max (with compliance)</t>
  </si>
  <si>
    <t>Simple Example</t>
  </si>
  <si>
    <t>UBI extension?</t>
  </si>
  <si>
    <t>Anchor rate t1</t>
  </si>
  <si>
    <t>Anchor compliance c1</t>
  </si>
  <si>
    <t>b (slope)</t>
  </si>
  <si>
    <t>a (intercept)</t>
  </si>
  <si>
    <t>Compliance [logistic] c(t)</t>
  </si>
  <si>
    <t>Revenue with compliance [logistic] t*c*Y(t)</t>
  </si>
  <si>
    <t>Tax rate, t</t>
  </si>
  <si>
    <t>a</t>
  </si>
  <si>
    <t>b</t>
  </si>
  <si>
    <t>L=a + b*t</t>
  </si>
  <si>
    <t>p</t>
  </si>
  <si>
    <t>Group</t>
  </si>
  <si>
    <t>t0 (current marginal rate)</t>
  </si>
  <si>
    <t>e (ETI)</t>
  </si>
  <si>
    <t>c0 (compliance at t0)</t>
  </si>
  <si>
    <t>t1 (anchor rate for logistic)</t>
  </si>
  <si>
    <t>c1 (compliance at t1)</t>
  </si>
  <si>
    <t>Basic</t>
  </si>
  <si>
    <t>Y0 (current taxable base within bracket, not cumulative)</t>
  </si>
  <si>
    <t>Higher</t>
  </si>
  <si>
    <t>Additional</t>
  </si>
  <si>
    <t>Policy (t)</t>
  </si>
  <si>
    <t>1 - t</t>
  </si>
  <si>
    <t>1 - t0</t>
  </si>
  <si>
    <t>Ratio = (1–t)/(1–t0)</t>
  </si>
  <si>
    <t>Y(t) = Y0 * Ratio^e</t>
  </si>
  <si>
    <t>c(t) logistic</t>
  </si>
  <si>
    <t>Revenue = t * c * Y(t)</t>
  </si>
  <si>
    <t>Total</t>
  </si>
  <si>
    <t>Top rate sweep tA</t>
  </si>
  <si>
    <t>Total revenue at tA</t>
  </si>
  <si>
    <t>Top bracket revenue at tA</t>
  </si>
  <si>
    <t>Max total (sweep)</t>
  </si>
  <si>
    <t>Top rate at max</t>
  </si>
  <si>
    <t>Higher rate sweep tH</t>
  </si>
  <si>
    <t>Total revenue at tH</t>
  </si>
  <si>
    <t>Higher bracket revenue at tH</t>
  </si>
  <si>
    <t>Basic rate sweep tB</t>
  </si>
  <si>
    <t>Total revenue at tB</t>
  </si>
  <si>
    <t>Basic bracket revenue at tB</t>
  </si>
  <si>
    <t>Max total (Higher sweep)</t>
  </si>
  <si>
    <t>Higher rate at max</t>
  </si>
  <si>
    <t>Max total (Basic sweep)</t>
  </si>
  <si>
    <t>Basic rate at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</si>
</sst>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£#,##0,,"/>
    <numFmt numFmtId="165" formatCode="&quot;£&quot;#,##0,,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rgb="FF666666"/>
      <name val="Aptos Narrow"/>
      <family val="2"/>
      <scheme val="minor"/>
    </font>
    <font>
      <sz val="11"/>
      <color rgb="FF0000FF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10" fontId="0" fillId="0" borderId="0" xfId="0" applyNumberFormat="1" applyAlignment="1">
      <alignment vertical="center" wrapText="1"/>
    </xf>
    <xf numFmtId="9" fontId="0" fillId="0" borderId="0" xfId="0" applyNumberFormat="1"/>
    <xf numFmtId="2" fontId="0" fillId="0" borderId="0" xfId="0" applyNumberFormat="1"/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9" fontId="1" fillId="0" borderId="7" xfId="0" applyNumberFormat="1" applyFont="1" applyBorder="1" applyAlignment="1">
      <alignment vertical="center" wrapText="1"/>
    </xf>
    <xf numFmtId="0" fontId="0" fillId="0" borderId="8" xfId="0" applyBorder="1"/>
    <xf numFmtId="0" fontId="2" fillId="0" borderId="0" xfId="0" applyFont="1"/>
    <xf numFmtId="1" fontId="0" fillId="0" borderId="5" xfId="0" applyNumberFormat="1" applyBorder="1"/>
    <xf numFmtId="1" fontId="0" fillId="0" borderId="9" xfId="0" applyNumberFormat="1" applyBorder="1"/>
    <xf numFmtId="1" fontId="0" fillId="0" borderId="0" xfId="0" applyNumberFormat="1"/>
    <xf numFmtId="0" fontId="3" fillId="0" borderId="0" xfId="0" applyFont="1"/>
    <xf numFmtId="10" fontId="0" fillId="0" borderId="0" xfId="0" applyNumberFormat="1"/>
    <xf numFmtId="164" fontId="0" fillId="0" borderId="0" xfId="0" applyNumberFormat="1"/>
    <xf numFmtId="0" fontId="4" fillId="0" borderId="0" xfId="0" applyFont="1"/>
    <xf numFmtId="0" fontId="1" fillId="2" borderId="10" xfId="0" applyFont="1" applyFill="1" applyBorder="1"/>
    <xf numFmtId="10" fontId="5" fillId="0" borderId="0" xfId="0" applyNumberFormat="1" applyFont="1"/>
    <xf numFmtId="164" fontId="5" fillId="0" borderId="0" xfId="0" applyNumberFormat="1" applyFont="1"/>
    <xf numFmtId="3" fontId="0" fillId="0" borderId="0" xfId="0" applyNumberFormat="1"/>
    <xf numFmtId="2" fontId="5" fillId="0" borderId="0" xfId="0" applyNumberFormat="1" applyFont="1"/>
    <xf numFmtId="165" fontId="0" fillId="0" borderId="0" xfId="0" applyNumberFormat="1"/>
    <xf numFmtId="0" fontId="6" fillId="0" borderId="0" xfId="0" applyFont="1"/>
    <xf numFmtId="0" fontId="0" fillId="3" borderId="0" xfId="0" applyFill="1"/>
    <xf numFmtId="2" fontId="5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Laffer Curve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Revenue</c:v>
          </c:tx>
          <c:marker>
            <c:symbol val="none"/>
          </c:marker>
          <c:cat>
            <c:numRef>
              <c:f>ETI_Laffer_Simple!$D$5:$D$40</c:f>
              <c:numCache>
                <c:formatCode>0.00%</c:formatCode>
                <c:ptCount val="36"/>
                <c:pt idx="0">
                  <c:v>0.2</c:v>
                </c:pt>
                <c:pt idx="1">
                  <c:v>0.22</c:v>
                </c:pt>
                <c:pt idx="2">
                  <c:v>0.24</c:v>
                </c:pt>
                <c:pt idx="3">
                  <c:v>0.26</c:v>
                </c:pt>
                <c:pt idx="4">
                  <c:v>0.28000000000000003</c:v>
                </c:pt>
                <c:pt idx="5">
                  <c:v>0.3</c:v>
                </c:pt>
                <c:pt idx="6">
                  <c:v>0.32</c:v>
                </c:pt>
                <c:pt idx="7">
                  <c:v>0.34</c:v>
                </c:pt>
                <c:pt idx="8">
                  <c:v>0.36</c:v>
                </c:pt>
                <c:pt idx="9">
                  <c:v>0.38</c:v>
                </c:pt>
                <c:pt idx="10">
                  <c:v>0.4</c:v>
                </c:pt>
                <c:pt idx="11">
                  <c:v>0.42</c:v>
                </c:pt>
                <c:pt idx="12">
                  <c:v>0.44</c:v>
                </c:pt>
                <c:pt idx="13">
                  <c:v>0.46</c:v>
                </c:pt>
                <c:pt idx="14">
                  <c:v>0.48</c:v>
                </c:pt>
                <c:pt idx="15">
                  <c:v>0.5</c:v>
                </c:pt>
                <c:pt idx="16">
                  <c:v>0.52</c:v>
                </c:pt>
                <c:pt idx="17">
                  <c:v>0.54</c:v>
                </c:pt>
                <c:pt idx="18">
                  <c:v>0.56000000000000005</c:v>
                </c:pt>
                <c:pt idx="19">
                  <c:v>0.57999999999999996</c:v>
                </c:pt>
                <c:pt idx="20">
                  <c:v>0.6</c:v>
                </c:pt>
                <c:pt idx="21">
                  <c:v>0.62</c:v>
                </c:pt>
                <c:pt idx="22">
                  <c:v>0.64</c:v>
                </c:pt>
                <c:pt idx="23">
                  <c:v>0.66</c:v>
                </c:pt>
                <c:pt idx="24">
                  <c:v>0.68</c:v>
                </c:pt>
                <c:pt idx="25">
                  <c:v>0.7</c:v>
                </c:pt>
                <c:pt idx="26">
                  <c:v>0.72</c:v>
                </c:pt>
                <c:pt idx="27">
                  <c:v>0.74</c:v>
                </c:pt>
                <c:pt idx="28">
                  <c:v>0.76</c:v>
                </c:pt>
                <c:pt idx="29">
                  <c:v>0.78</c:v>
                </c:pt>
                <c:pt idx="30">
                  <c:v>0.8</c:v>
                </c:pt>
                <c:pt idx="31">
                  <c:v>0.82</c:v>
                </c:pt>
                <c:pt idx="32">
                  <c:v>0.84</c:v>
                </c:pt>
                <c:pt idx="33">
                  <c:v>0.86</c:v>
                </c:pt>
                <c:pt idx="34">
                  <c:v>0.88</c:v>
                </c:pt>
                <c:pt idx="35">
                  <c:v>0.9</c:v>
                </c:pt>
              </c:numCache>
            </c:numRef>
          </c:cat>
          <c:val>
            <c:numRef>
              <c:f>ETI_Laffer_Simple!$I$5:$I$40</c:f>
              <c:numCache>
                <c:formatCode>\£#,##0,,</c:formatCode>
                <c:ptCount val="36"/>
                <c:pt idx="0">
                  <c:v>23233835741.759884</c:v>
                </c:pt>
                <c:pt idx="1">
                  <c:v>25299704351.181995</c:v>
                </c:pt>
                <c:pt idx="2">
                  <c:v>27314396086.279339</c:v>
                </c:pt>
                <c:pt idx="3">
                  <c:v>29276621637.702034</c:v>
                </c:pt>
                <c:pt idx="4">
                  <c:v>31185014772.667057</c:v>
                </c:pt>
                <c:pt idx="5">
                  <c:v>33038125222.713768</c:v>
                </c:pt>
                <c:pt idx="6">
                  <c:v>34834410676.734772</c:v>
                </c:pt>
                <c:pt idx="7">
                  <c:v>36572227735.707382</c:v>
                </c:pt>
                <c:pt idx="8">
                  <c:v>38249821657.283302</c:v>
                </c:pt>
                <c:pt idx="9">
                  <c:v>39865314683.471924</c:v>
                </c:pt>
                <c:pt idx="10">
                  <c:v>41416692701.239548</c:v>
                </c:pt>
                <c:pt idx="11">
                  <c:v>42901789931.516418</c:v>
                </c:pt>
                <c:pt idx="12">
                  <c:v>44318271273.626923</c:v>
                </c:pt>
                <c:pt idx="13">
                  <c:v>45663611845.201279</c:v>
                </c:pt>
                <c:pt idx="14">
                  <c:v>46935073146.307549</c:v>
                </c:pt>
                <c:pt idx="15">
                  <c:v>48129675132.808388</c:v>
                </c:pt>
                <c:pt idx="16">
                  <c:v>49244163296.636024</c:v>
                </c:pt>
                <c:pt idx="17">
                  <c:v>50274969604.15686</c:v>
                </c:pt>
                <c:pt idx="18">
                  <c:v>51218165815.86055</c:v>
                </c:pt>
                <c:pt idx="19">
                  <c:v>52069407269.317551</c:v>
                </c:pt>
                <c:pt idx="20">
                  <c:v>52823864606.050293</c:v>
                </c:pt>
                <c:pt idx="21">
                  <c:v>53476140092.425484</c:v>
                </c:pt>
                <c:pt idx="22">
                  <c:v>54020164020.346222</c:v>
                </c:pt>
                <c:pt idx="23">
                  <c:v>54449065014.458374</c:v>
                </c:pt>
                <c:pt idx="24">
                  <c:v>54755005665.789604</c:v>
                </c:pt>
                <c:pt idx="25">
                  <c:v>54928971350.171684</c:v>
                </c:pt>
                <c:pt idx="26">
                  <c:v>54960494701.531258</c:v>
                </c:pt>
                <c:pt idx="27">
                  <c:v>54837289853.639992</c:v>
                </c:pt>
                <c:pt idx="28">
                  <c:v>54544757236.170609</c:v>
                </c:pt>
                <c:pt idx="29">
                  <c:v>54065297766.101418</c:v>
                </c:pt>
                <c:pt idx="30">
                  <c:v>53377337793.661789</c:v>
                </c:pt>
                <c:pt idx="31">
                  <c:v>52453899355.955574</c:v>
                </c:pt>
                <c:pt idx="32">
                  <c:v>51260425086.093185</c:v>
                </c:pt>
                <c:pt idx="33">
                  <c:v>49751317914.95652</c:v>
                </c:pt>
                <c:pt idx="34">
                  <c:v>47864121776.35099</c:v>
                </c:pt>
                <c:pt idx="35">
                  <c:v>45509014783.167053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43E-4BF2-B8DD-8596B02800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Tax rate t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Revenue (£ millions)</a:t>
                </a:r>
              </a:p>
            </c:rich>
          </c:tx>
          <c:overlay val="0"/>
        </c:title>
        <c:numFmt formatCode="\£#,##0,,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Laffer Curve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Revenue</c:v>
          </c:tx>
          <c:marker>
            <c:symbol val="none"/>
          </c:marker>
          <c:cat>
            <c:numRef>
              <c:f>ETI_Laffer_Simp_Comp!$D$5:$D$40</c:f>
              <c:numCache>
                <c:formatCode>0.00%</c:formatCode>
                <c:ptCount val="36"/>
                <c:pt idx="0">
                  <c:v>0.2</c:v>
                </c:pt>
                <c:pt idx="1">
                  <c:v>0.22</c:v>
                </c:pt>
                <c:pt idx="2">
                  <c:v>0.24</c:v>
                </c:pt>
                <c:pt idx="3">
                  <c:v>0.26</c:v>
                </c:pt>
                <c:pt idx="4">
                  <c:v>0.28000000000000003</c:v>
                </c:pt>
                <c:pt idx="5">
                  <c:v>0.3</c:v>
                </c:pt>
                <c:pt idx="6">
                  <c:v>0.32</c:v>
                </c:pt>
                <c:pt idx="7">
                  <c:v>0.34</c:v>
                </c:pt>
                <c:pt idx="8">
                  <c:v>0.36</c:v>
                </c:pt>
                <c:pt idx="9">
                  <c:v>0.38</c:v>
                </c:pt>
                <c:pt idx="10">
                  <c:v>0.4</c:v>
                </c:pt>
                <c:pt idx="11">
                  <c:v>0.42</c:v>
                </c:pt>
                <c:pt idx="12">
                  <c:v>0.44</c:v>
                </c:pt>
                <c:pt idx="13">
                  <c:v>0.46</c:v>
                </c:pt>
                <c:pt idx="14">
                  <c:v>0.48</c:v>
                </c:pt>
                <c:pt idx="15">
                  <c:v>0.5</c:v>
                </c:pt>
                <c:pt idx="16">
                  <c:v>0.52</c:v>
                </c:pt>
                <c:pt idx="17">
                  <c:v>0.54</c:v>
                </c:pt>
                <c:pt idx="18">
                  <c:v>0.56000000000000005</c:v>
                </c:pt>
                <c:pt idx="19">
                  <c:v>0.57999999999999996</c:v>
                </c:pt>
                <c:pt idx="20">
                  <c:v>0.6</c:v>
                </c:pt>
                <c:pt idx="21">
                  <c:v>0.62</c:v>
                </c:pt>
                <c:pt idx="22">
                  <c:v>0.64</c:v>
                </c:pt>
                <c:pt idx="23">
                  <c:v>0.66</c:v>
                </c:pt>
                <c:pt idx="24">
                  <c:v>0.68</c:v>
                </c:pt>
                <c:pt idx="25">
                  <c:v>0.7</c:v>
                </c:pt>
                <c:pt idx="26">
                  <c:v>0.72</c:v>
                </c:pt>
                <c:pt idx="27">
                  <c:v>0.74</c:v>
                </c:pt>
                <c:pt idx="28">
                  <c:v>0.76</c:v>
                </c:pt>
                <c:pt idx="29">
                  <c:v>0.78</c:v>
                </c:pt>
                <c:pt idx="30">
                  <c:v>0.8</c:v>
                </c:pt>
                <c:pt idx="31">
                  <c:v>0.82</c:v>
                </c:pt>
                <c:pt idx="32">
                  <c:v>0.84</c:v>
                </c:pt>
                <c:pt idx="33">
                  <c:v>0.86</c:v>
                </c:pt>
                <c:pt idx="34">
                  <c:v>0.88</c:v>
                </c:pt>
                <c:pt idx="35">
                  <c:v>0.9</c:v>
                </c:pt>
              </c:numCache>
            </c:numRef>
          </c:cat>
          <c:val>
            <c:numRef>
              <c:f>ETI_Laffer_Simp_Comp!$I$5:$I$40</c:f>
              <c:numCache>
                <c:formatCode>\£#,##0,,</c:formatCode>
                <c:ptCount val="36"/>
                <c:pt idx="0">
                  <c:v>23233835741.759884</c:v>
                </c:pt>
                <c:pt idx="1">
                  <c:v>25299704351.181995</c:v>
                </c:pt>
                <c:pt idx="2">
                  <c:v>27314396086.279339</c:v>
                </c:pt>
                <c:pt idx="3">
                  <c:v>29276621637.702034</c:v>
                </c:pt>
                <c:pt idx="4">
                  <c:v>31185014772.667057</c:v>
                </c:pt>
                <c:pt idx="5">
                  <c:v>33038125222.713768</c:v>
                </c:pt>
                <c:pt idx="6">
                  <c:v>34834410676.734772</c:v>
                </c:pt>
                <c:pt idx="7">
                  <c:v>36572227735.707382</c:v>
                </c:pt>
                <c:pt idx="8">
                  <c:v>38249821657.283302</c:v>
                </c:pt>
                <c:pt idx="9">
                  <c:v>39865314683.471924</c:v>
                </c:pt>
                <c:pt idx="10">
                  <c:v>41416692701.239548</c:v>
                </c:pt>
                <c:pt idx="11">
                  <c:v>42901789931.516418</c:v>
                </c:pt>
                <c:pt idx="12">
                  <c:v>44318271273.626923</c:v>
                </c:pt>
                <c:pt idx="13">
                  <c:v>45663611845.201279</c:v>
                </c:pt>
                <c:pt idx="14">
                  <c:v>46935073146.307549</c:v>
                </c:pt>
                <c:pt idx="15">
                  <c:v>48129675132.808388</c:v>
                </c:pt>
                <c:pt idx="16">
                  <c:v>49244163296.636024</c:v>
                </c:pt>
                <c:pt idx="17">
                  <c:v>50274969604.15686</c:v>
                </c:pt>
                <c:pt idx="18">
                  <c:v>51218165815.86055</c:v>
                </c:pt>
                <c:pt idx="19">
                  <c:v>52069407269.317551</c:v>
                </c:pt>
                <c:pt idx="20">
                  <c:v>52823864606.050293</c:v>
                </c:pt>
                <c:pt idx="21">
                  <c:v>53476140092.425484</c:v>
                </c:pt>
                <c:pt idx="22">
                  <c:v>54020164020.346222</c:v>
                </c:pt>
                <c:pt idx="23">
                  <c:v>54449065014.458374</c:v>
                </c:pt>
                <c:pt idx="24">
                  <c:v>54755005665.789604</c:v>
                </c:pt>
                <c:pt idx="25">
                  <c:v>54928971350.171684</c:v>
                </c:pt>
                <c:pt idx="26">
                  <c:v>54960494701.531258</c:v>
                </c:pt>
                <c:pt idx="27">
                  <c:v>54837289853.639992</c:v>
                </c:pt>
                <c:pt idx="28">
                  <c:v>54544757236.170609</c:v>
                </c:pt>
                <c:pt idx="29">
                  <c:v>54065297766.101418</c:v>
                </c:pt>
                <c:pt idx="30">
                  <c:v>53377337793.661789</c:v>
                </c:pt>
                <c:pt idx="31">
                  <c:v>52453899355.955574</c:v>
                </c:pt>
                <c:pt idx="32">
                  <c:v>51260425086.093185</c:v>
                </c:pt>
                <c:pt idx="33">
                  <c:v>49751317914.95652</c:v>
                </c:pt>
                <c:pt idx="34">
                  <c:v>47864121776.35099</c:v>
                </c:pt>
                <c:pt idx="35">
                  <c:v>45509014783.167053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F9-4AA8-A0F6-D9E837A191C4}"/>
            </c:ext>
          </c:extLst>
        </c:ser>
        <c:ser>
          <c:idx val="1"/>
          <c:order val="1"/>
          <c:tx>
            <c:v>Revenue (with compliance)</c:v>
          </c:tx>
          <c:marker>
            <c:symbol val="none"/>
          </c:marker>
          <c:val>
            <c:numRef>
              <c:f>ETI_Laffer_Simp_Comp!$K$5:$K$40</c:f>
              <c:numCache>
                <c:formatCode>"£"#,##0,,</c:formatCode>
                <c:ptCount val="36"/>
                <c:pt idx="0">
                  <c:v>23233835741.759884</c:v>
                </c:pt>
                <c:pt idx="1">
                  <c:v>25299704351.181995</c:v>
                </c:pt>
                <c:pt idx="2">
                  <c:v>27314396086.279339</c:v>
                </c:pt>
                <c:pt idx="3">
                  <c:v>29276621637.702034</c:v>
                </c:pt>
                <c:pt idx="4">
                  <c:v>31185014772.667057</c:v>
                </c:pt>
                <c:pt idx="5">
                  <c:v>33038125222.713768</c:v>
                </c:pt>
                <c:pt idx="6">
                  <c:v>34834410676.734772</c:v>
                </c:pt>
                <c:pt idx="7">
                  <c:v>36572227735.707382</c:v>
                </c:pt>
                <c:pt idx="8">
                  <c:v>38173322013.968742</c:v>
                </c:pt>
                <c:pt idx="9">
                  <c:v>39626122795.371094</c:v>
                </c:pt>
                <c:pt idx="10">
                  <c:v>41002525774.22715</c:v>
                </c:pt>
                <c:pt idx="11">
                  <c:v>42301164872.475189</c:v>
                </c:pt>
                <c:pt idx="12">
                  <c:v>43520542390.701645</c:v>
                </c:pt>
                <c:pt idx="13">
                  <c:v>44659012384.60685</c:v>
                </c:pt>
                <c:pt idx="14">
                  <c:v>45714761244.503555</c:v>
                </c:pt>
                <c:pt idx="15">
                  <c:v>46685784878.824135</c:v>
                </c:pt>
                <c:pt idx="16">
                  <c:v>47569861744.5504</c:v>
                </c:pt>
                <c:pt idx="17">
                  <c:v>48364520759.198898</c:v>
                </c:pt>
                <c:pt idx="18">
                  <c:v>49067002851.594406</c:v>
                </c:pt>
                <c:pt idx="19">
                  <c:v>49674214534.92894</c:v>
                </c:pt>
                <c:pt idx="20">
                  <c:v>50182671375.74778</c:v>
                </c:pt>
                <c:pt idx="21">
                  <c:v>50588428527.434502</c:v>
                </c:pt>
                <c:pt idx="22">
                  <c:v>50886994507.166138</c:v>
                </c:pt>
                <c:pt idx="23">
                  <c:v>51073222983.561951</c:v>
                </c:pt>
                <c:pt idx="24">
                  <c:v>51141175291.847488</c:v>
                </c:pt>
                <c:pt idx="25">
                  <c:v>51083943355.659668</c:v>
                </c:pt>
                <c:pt idx="26">
                  <c:v>50893418093.617943</c:v>
                </c:pt>
                <c:pt idx="27">
                  <c:v>50559981245.056068</c:v>
                </c:pt>
                <c:pt idx="28">
                  <c:v>50072087142.804619</c:v>
                </c:pt>
                <c:pt idx="29">
                  <c:v>49415682158.21669</c:v>
                </c:pt>
                <c:pt idx="30">
                  <c:v>48573377392.232224</c:v>
                </c:pt>
                <c:pt idx="31">
                  <c:v>47523232816.495758</c:v>
                </c:pt>
                <c:pt idx="32">
                  <c:v>46236903427.656059</c:v>
                </c:pt>
                <c:pt idx="33">
                  <c:v>44676683487.630951</c:v>
                </c:pt>
                <c:pt idx="34">
                  <c:v>42790524868.057777</c:v>
                </c:pt>
                <c:pt idx="35">
                  <c:v>40503023157.018677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F9-4AA8-A0F6-D9E837A191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Tax rate t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Revenue (£ millions)</a:t>
                </a:r>
              </a:p>
            </c:rich>
          </c:tx>
          <c:overlay val="0"/>
        </c:title>
        <c:numFmt formatCode="\£#,##0,,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'Logistic regression example'!$A$2:$A$14</c:f>
              <c:numCache>
                <c:formatCode>General</c:formatCode>
                <c:ptCount val="13"/>
                <c:pt idx="0">
                  <c:v>0.2</c:v>
                </c:pt>
                <c:pt idx="1">
                  <c:v>0.25</c:v>
                </c:pt>
                <c:pt idx="2">
                  <c:v>0.3</c:v>
                </c:pt>
                <c:pt idx="3">
                  <c:v>0.35</c:v>
                </c:pt>
                <c:pt idx="4">
                  <c:v>0.4</c:v>
                </c:pt>
                <c:pt idx="5">
                  <c:v>0.45</c:v>
                </c:pt>
                <c:pt idx="6">
                  <c:v>0.5</c:v>
                </c:pt>
                <c:pt idx="7">
                  <c:v>0.55000000000000004</c:v>
                </c:pt>
                <c:pt idx="8">
                  <c:v>0.6</c:v>
                </c:pt>
                <c:pt idx="9">
                  <c:v>0.65</c:v>
                </c:pt>
                <c:pt idx="10">
                  <c:v>0.7</c:v>
                </c:pt>
                <c:pt idx="11">
                  <c:v>0.75</c:v>
                </c:pt>
                <c:pt idx="12">
                  <c:v>0.8</c:v>
                </c:pt>
              </c:numCache>
            </c:numRef>
          </c:xVal>
          <c:yVal>
            <c:numRef>
              <c:f>'Logistic regression example'!$C$2:$C$14</c:f>
              <c:numCache>
                <c:formatCode>General</c:formatCode>
                <c:ptCount val="13"/>
                <c:pt idx="0">
                  <c:v>0.16798161486607557</c:v>
                </c:pt>
                <c:pt idx="1">
                  <c:v>0.2689414213699951</c:v>
                </c:pt>
                <c:pt idx="2">
                  <c:v>0.40131233988754794</c:v>
                </c:pt>
                <c:pt idx="3">
                  <c:v>0.54983399731247773</c:v>
                </c:pt>
                <c:pt idx="4">
                  <c:v>0.68997448112761262</c:v>
                </c:pt>
                <c:pt idx="5">
                  <c:v>0.8021838885585818</c:v>
                </c:pt>
                <c:pt idx="6">
                  <c:v>0.88079707797788231</c:v>
                </c:pt>
                <c:pt idx="7">
                  <c:v>0.93086157965665328</c:v>
                </c:pt>
                <c:pt idx="8">
                  <c:v>0.96083427720323566</c:v>
                </c:pt>
                <c:pt idx="9">
                  <c:v>0.97811872906386943</c:v>
                </c:pt>
                <c:pt idx="10">
                  <c:v>0.98787156501572571</c:v>
                </c:pt>
                <c:pt idx="11">
                  <c:v>0.99330714907571527</c:v>
                </c:pt>
                <c:pt idx="12">
                  <c:v>0.99631576010056411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E61-43B0-9599-5186C61003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0600560"/>
        <c:axId val="1180603920"/>
      </c:scatterChart>
      <c:valAx>
        <c:axId val="1180600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0603920"/>
        <c:crosses val="autoZero"/>
        <c:crossBetween val="midCat"/>
      </c:valAx>
      <c:valAx>
        <c:axId val="118060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06005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Laffer Curve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Revenue</c:v>
          </c:tx>
          <c:marker>
            <c:symbol val="none"/>
          </c:marker>
          <c:cat>
            <c:numRef>
              <c:f>ETI_Laffer_Logit_Comp!$D$5:$D$40</c:f>
              <c:numCache>
                <c:formatCode>0.00%</c:formatCode>
                <c:ptCount val="36"/>
                <c:pt idx="0">
                  <c:v>0.2</c:v>
                </c:pt>
                <c:pt idx="1">
                  <c:v>0.22</c:v>
                </c:pt>
                <c:pt idx="2">
                  <c:v>0.24</c:v>
                </c:pt>
                <c:pt idx="3">
                  <c:v>0.26</c:v>
                </c:pt>
                <c:pt idx="4">
                  <c:v>0.28000000000000003</c:v>
                </c:pt>
                <c:pt idx="5">
                  <c:v>0.3</c:v>
                </c:pt>
                <c:pt idx="6">
                  <c:v>0.32</c:v>
                </c:pt>
                <c:pt idx="7">
                  <c:v>0.34</c:v>
                </c:pt>
                <c:pt idx="8">
                  <c:v>0.36</c:v>
                </c:pt>
                <c:pt idx="9">
                  <c:v>0.38</c:v>
                </c:pt>
                <c:pt idx="10">
                  <c:v>0.4</c:v>
                </c:pt>
                <c:pt idx="11">
                  <c:v>0.42</c:v>
                </c:pt>
                <c:pt idx="12">
                  <c:v>0.44</c:v>
                </c:pt>
                <c:pt idx="13">
                  <c:v>0.46</c:v>
                </c:pt>
                <c:pt idx="14">
                  <c:v>0.48</c:v>
                </c:pt>
                <c:pt idx="15">
                  <c:v>0.5</c:v>
                </c:pt>
                <c:pt idx="16">
                  <c:v>0.52</c:v>
                </c:pt>
                <c:pt idx="17">
                  <c:v>0.54</c:v>
                </c:pt>
                <c:pt idx="18">
                  <c:v>0.56000000000000005</c:v>
                </c:pt>
                <c:pt idx="19">
                  <c:v>0.57999999999999996</c:v>
                </c:pt>
                <c:pt idx="20">
                  <c:v>0.6</c:v>
                </c:pt>
                <c:pt idx="21">
                  <c:v>0.62</c:v>
                </c:pt>
                <c:pt idx="22">
                  <c:v>0.64</c:v>
                </c:pt>
                <c:pt idx="23">
                  <c:v>0.66</c:v>
                </c:pt>
                <c:pt idx="24">
                  <c:v>0.68</c:v>
                </c:pt>
                <c:pt idx="25">
                  <c:v>0.7</c:v>
                </c:pt>
                <c:pt idx="26">
                  <c:v>0.72</c:v>
                </c:pt>
                <c:pt idx="27">
                  <c:v>0.74</c:v>
                </c:pt>
                <c:pt idx="28">
                  <c:v>0.76</c:v>
                </c:pt>
                <c:pt idx="29">
                  <c:v>0.78</c:v>
                </c:pt>
                <c:pt idx="30">
                  <c:v>0.8</c:v>
                </c:pt>
                <c:pt idx="31">
                  <c:v>0.82</c:v>
                </c:pt>
                <c:pt idx="32">
                  <c:v>0.84</c:v>
                </c:pt>
                <c:pt idx="33">
                  <c:v>0.86</c:v>
                </c:pt>
                <c:pt idx="34">
                  <c:v>0.88</c:v>
                </c:pt>
                <c:pt idx="35">
                  <c:v>0.9</c:v>
                </c:pt>
              </c:numCache>
            </c:numRef>
          </c:cat>
          <c:val>
            <c:numRef>
              <c:f>ETI_Laffer_Logit_Comp!$I$5:$I$40</c:f>
              <c:numCache>
                <c:formatCode>\£#,##0,,</c:formatCode>
                <c:ptCount val="36"/>
                <c:pt idx="0">
                  <c:v>23233835741.759884</c:v>
                </c:pt>
                <c:pt idx="1">
                  <c:v>25299704351.181995</c:v>
                </c:pt>
                <c:pt idx="2">
                  <c:v>27314396086.279339</c:v>
                </c:pt>
                <c:pt idx="3">
                  <c:v>29276621637.702034</c:v>
                </c:pt>
                <c:pt idx="4">
                  <c:v>31185014772.667057</c:v>
                </c:pt>
                <c:pt idx="5">
                  <c:v>33038125222.713768</c:v>
                </c:pt>
                <c:pt idx="6">
                  <c:v>34834410676.734772</c:v>
                </c:pt>
                <c:pt idx="7">
                  <c:v>36572227735.707382</c:v>
                </c:pt>
                <c:pt idx="8">
                  <c:v>38249821657.283302</c:v>
                </c:pt>
                <c:pt idx="9">
                  <c:v>39865314683.471924</c:v>
                </c:pt>
                <c:pt idx="10">
                  <c:v>41416692701.239548</c:v>
                </c:pt>
                <c:pt idx="11">
                  <c:v>42901789931.516418</c:v>
                </c:pt>
                <c:pt idx="12">
                  <c:v>44318271273.626923</c:v>
                </c:pt>
                <c:pt idx="13">
                  <c:v>45663611845.201279</c:v>
                </c:pt>
                <c:pt idx="14">
                  <c:v>46935073146.307549</c:v>
                </c:pt>
                <c:pt idx="15">
                  <c:v>48129675132.808388</c:v>
                </c:pt>
                <c:pt idx="16">
                  <c:v>49244163296.636024</c:v>
                </c:pt>
                <c:pt idx="17">
                  <c:v>50274969604.15686</c:v>
                </c:pt>
                <c:pt idx="18">
                  <c:v>51218165815.86055</c:v>
                </c:pt>
                <c:pt idx="19">
                  <c:v>52069407269.317551</c:v>
                </c:pt>
                <c:pt idx="20">
                  <c:v>52823864606.050293</c:v>
                </c:pt>
                <c:pt idx="21">
                  <c:v>53476140092.425484</c:v>
                </c:pt>
                <c:pt idx="22">
                  <c:v>54020164020.346222</c:v>
                </c:pt>
                <c:pt idx="23">
                  <c:v>54449065014.458374</c:v>
                </c:pt>
                <c:pt idx="24">
                  <c:v>54755005665.789604</c:v>
                </c:pt>
                <c:pt idx="25">
                  <c:v>54928971350.171684</c:v>
                </c:pt>
                <c:pt idx="26">
                  <c:v>54960494701.531258</c:v>
                </c:pt>
                <c:pt idx="27">
                  <c:v>54837289853.639992</c:v>
                </c:pt>
                <c:pt idx="28">
                  <c:v>54544757236.170609</c:v>
                </c:pt>
                <c:pt idx="29">
                  <c:v>54065297766.101418</c:v>
                </c:pt>
                <c:pt idx="30">
                  <c:v>53377337793.661789</c:v>
                </c:pt>
                <c:pt idx="31">
                  <c:v>52453899355.955574</c:v>
                </c:pt>
                <c:pt idx="32">
                  <c:v>51260425086.093185</c:v>
                </c:pt>
                <c:pt idx="33">
                  <c:v>49751317914.95652</c:v>
                </c:pt>
                <c:pt idx="34">
                  <c:v>47864121776.35099</c:v>
                </c:pt>
                <c:pt idx="35">
                  <c:v>45509014783.167053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34-46FB-98EC-D24A64DD7B5F}"/>
            </c:ext>
          </c:extLst>
        </c:ser>
        <c:ser>
          <c:idx val="1"/>
          <c:order val="1"/>
          <c:tx>
            <c:v>Revenue (with compliance)</c:v>
          </c:tx>
          <c:marker>
            <c:symbol val="none"/>
          </c:marker>
          <c:val>
            <c:numRef>
              <c:f>ETI_Laffer_Logit_Comp!$K$5:$K$40</c:f>
              <c:numCache>
                <c:formatCode>"£"#,##0,,</c:formatCode>
                <c:ptCount val="36"/>
                <c:pt idx="0">
                  <c:v>23136479515.458519</c:v>
                </c:pt>
                <c:pt idx="1">
                  <c:v>25179485574.291557</c:v>
                </c:pt>
                <c:pt idx="2">
                  <c:v>27167222561.965008</c:v>
                </c:pt>
                <c:pt idx="3">
                  <c:v>29097765811.953712</c:v>
                </c:pt>
                <c:pt idx="4">
                  <c:v>30969026585.887386</c:v>
                </c:pt>
                <c:pt idx="5">
                  <c:v>32778734983.361881</c:v>
                </c:pt>
                <c:pt idx="6">
                  <c:v>34524421275.355957</c:v>
                </c:pt>
                <c:pt idx="7">
                  <c:v>36203395610.187447</c:v>
                </c:pt>
                <c:pt idx="8">
                  <c:v>37812726071.032585</c:v>
                </c:pt>
                <c:pt idx="9">
                  <c:v>39349215105.78524</c:v>
                </c:pt>
                <c:pt idx="10">
                  <c:v>40809374406.135857</c:v>
                </c:pt>
                <c:pt idx="11">
                  <c:v>42189398386.178864</c:v>
                </c:pt>
                <c:pt idx="12">
                  <c:v>43485136504.760811</c:v>
                </c:pt>
                <c:pt idx="13">
                  <c:v>44692064793.241409</c:v>
                </c:pt>
                <c:pt idx="14">
                  <c:v>45805257093.97982</c:v>
                </c:pt>
                <c:pt idx="15">
                  <c:v>46819356686.195053</c:v>
                </c:pt>
                <c:pt idx="16">
                  <c:v>47728549174.298859</c:v>
                </c:pt>
                <c:pt idx="17">
                  <c:v>48526537735.173134</c:v>
                </c:pt>
                <c:pt idx="18">
                  <c:v>49206522055.154648</c:v>
                </c:pt>
                <c:pt idx="19">
                  <c:v>49761182515.661057</c:v>
                </c:pt>
                <c:pt idx="20">
                  <c:v>50182671375.747787</c:v>
                </c:pt>
                <c:pt idx="21">
                  <c:v>50462612797.423416</c:v>
                </c:pt>
                <c:pt idx="22">
                  <c:v>50592113482.352654</c:v>
                </c:pt>
                <c:pt idx="23">
                  <c:v>50561785309.602478</c:v>
                </c:pt>
                <c:pt idx="24">
                  <c:v>50361780490.586754</c:v>
                </c:pt>
                <c:pt idx="25">
                  <c:v>49981838096.38253</c:v>
                </c:pt>
                <c:pt idx="26">
                  <c:v>49411337912.818871</c:v>
                </c:pt>
                <c:pt idx="27">
                  <c:v>48639352726.166176</c:v>
                </c:pt>
                <c:pt idx="28">
                  <c:v>47654682161.358002</c:v>
                </c:pt>
                <c:pt idx="29">
                  <c:v>46445838047.51152</c:v>
                </c:pt>
                <c:pt idx="30">
                  <c:v>45000929218.724937</c:v>
                </c:pt>
                <c:pt idx="31">
                  <c:v>43307355286.740669</c:v>
                </c:pt>
                <c:pt idx="32">
                  <c:v>41351148659.733055</c:v>
                </c:pt>
                <c:pt idx="33">
                  <c:v>39115666449.349693</c:v>
                </c:pt>
                <c:pt idx="34">
                  <c:v>36579040934.958672</c:v>
                </c:pt>
                <c:pt idx="35">
                  <c:v>33709107170.38258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34-46FB-98EC-D24A64DD7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Tax rate t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Revenue (£ millions)</a:t>
                </a:r>
              </a:p>
            </c:rich>
          </c:tx>
          <c:overlay val="0"/>
        </c:title>
        <c:numFmt formatCode="\£#,##0,,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Revenue by bracket (current policy, t)</a:t>
            </a:r>
          </a:p>
        </c:rich>
      </c:tx>
      <c:layout>
        <c:manualLayout>
          <c:xMode val="edge"/>
          <c:yMode val="edge"/>
          <c:x val="0.1249362477231329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'Multi-bracket model'!$A$6:$A$8</c:f>
              <c:strCache>
                <c:ptCount val="3"/>
                <c:pt idx="0">
                  <c:v>Basic</c:v>
                </c:pt>
                <c:pt idx="1">
                  <c:v>Higher</c:v>
                </c:pt>
                <c:pt idx="2">
                  <c:v>Additional</c:v>
                </c:pt>
              </c:strCache>
            </c:strRef>
          </c:cat>
          <c:val>
            <c:numRef>
              <c:f>'Multi-bracket model'!$P$6:$P$8</c:f>
              <c:numCache>
                <c:formatCode>General</c:formatCode>
                <c:ptCount val="3"/>
                <c:pt idx="0">
                  <c:v>198000000</c:v>
                </c:pt>
                <c:pt idx="1">
                  <c:v>1188000000</c:v>
                </c:pt>
                <c:pt idx="2">
                  <c:v>2205000000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01-41D3-9D7F-F51DBDD27AE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9"/>
        <c:overlap val="100"/>
        <c:axId val="1765323311"/>
        <c:axId val="1765323791"/>
      </c:barChart>
      <c:catAx>
        <c:axId val="17653233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5323791"/>
        <c:crosses val="autoZero"/>
        <c:auto val="1"/>
        <c:lblAlgn val="ctr"/>
        <c:lblOffset val="100"/>
        <c:noMultiLvlLbl val="0"/>
      </c:catAx>
      <c:valAx>
        <c:axId val="176532379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5323311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'Multi-bracket model'!$U$5</c:f>
              <c:strCache>
                <c:ptCount val="1"/>
                <c:pt idx="0">
                  <c:v>Total revenue at tA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'Multi-bracket model'!$T$6:$T$32</c:f>
              <c:numCache>
                <c:formatCode>General</c:formatCode>
                <c:ptCount val="27"/>
                <c:pt idx="0">
                  <c:v>0.3</c:v>
                </c:pt>
                <c:pt idx="1">
                  <c:v>0.32</c:v>
                </c:pt>
                <c:pt idx="2">
                  <c:v>0.34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0.45</c:v>
                </c:pt>
                <c:pt idx="9">
                  <c:v>0.46</c:v>
                </c:pt>
                <c:pt idx="10">
                  <c:v>0.48</c:v>
                </c:pt>
                <c:pt idx="11">
                  <c:v>0.5</c:v>
                </c:pt>
                <c:pt idx="12">
                  <c:v>0.52</c:v>
                </c:pt>
                <c:pt idx="13">
                  <c:v>0.54</c:v>
                </c:pt>
                <c:pt idx="14">
                  <c:v>0.56000000000000005</c:v>
                </c:pt>
                <c:pt idx="15">
                  <c:v>0.57999999999999996</c:v>
                </c:pt>
                <c:pt idx="16">
                  <c:v>0.6</c:v>
                </c:pt>
                <c:pt idx="17">
                  <c:v>0.62</c:v>
                </c:pt>
                <c:pt idx="18">
                  <c:v>0.64</c:v>
                </c:pt>
                <c:pt idx="19">
                  <c:v>0.66</c:v>
                </c:pt>
                <c:pt idx="20">
                  <c:v>0.68</c:v>
                </c:pt>
                <c:pt idx="21">
                  <c:v>0.7</c:v>
                </c:pt>
                <c:pt idx="22">
                  <c:v>0.72</c:v>
                </c:pt>
                <c:pt idx="23">
                  <c:v>0.74</c:v>
                </c:pt>
                <c:pt idx="24">
                  <c:v>0.76</c:v>
                </c:pt>
                <c:pt idx="25">
                  <c:v>0.78</c:v>
                </c:pt>
                <c:pt idx="26">
                  <c:v>0.8</c:v>
                </c:pt>
              </c:numCache>
            </c:numRef>
          </c:xVal>
          <c:yVal>
            <c:numRef>
              <c:f>'Multi-bracket model'!$U$6:$U$32</c:f>
              <c:numCache>
                <c:formatCode>General</c:formatCode>
                <c:ptCount val="27"/>
                <c:pt idx="0">
                  <c:v>3105924026.6006889</c:v>
                </c:pt>
                <c:pt idx="1">
                  <c:v>3187049529.8292265</c:v>
                </c:pt>
                <c:pt idx="2">
                  <c:v>3263394579.3966055</c:v>
                </c:pt>
                <c:pt idx="3">
                  <c:v>3334818751.5397882</c:v>
                </c:pt>
                <c:pt idx="4">
                  <c:v>3401170877.6100731</c:v>
                </c:pt>
                <c:pt idx="5">
                  <c:v>3462288285.9317904</c:v>
                </c:pt>
                <c:pt idx="6">
                  <c:v>3517996059.2341013</c:v>
                </c:pt>
                <c:pt idx="7">
                  <c:v>3568106332.0953426</c:v>
                </c:pt>
                <c:pt idx="8">
                  <c:v>3591000000</c:v>
                </c:pt>
                <c:pt idx="9">
                  <c:v>3612417659.740283</c:v>
                </c:pt>
                <c:pt idx="10">
                  <c:v>3650714497.5882044</c:v>
                </c:pt>
                <c:pt idx="11">
                  <c:v>3682766840.1415548</c:v>
                </c:pt>
                <c:pt idx="12">
                  <c:v>3708330077.9844289</c:v>
                </c:pt>
                <c:pt idx="13">
                  <c:v>3727145142.4881124</c:v>
                </c:pt>
                <c:pt idx="14">
                  <c:v>3738939018.6710372</c:v>
                </c:pt>
                <c:pt idx="15">
                  <c:v>3743425716.4903846</c:v>
                </c:pt>
                <c:pt idx="16">
                  <c:v>3740307798.0211263</c:v>
                </c:pt>
                <c:pt idx="17">
                  <c:v>3729278560.0544143</c:v>
                </c:pt>
                <c:pt idx="18">
                  <c:v>3710024965.0405846</c:v>
                </c:pt>
                <c:pt idx="19">
                  <c:v>3682231392.8792324</c:v>
                </c:pt>
                <c:pt idx="20">
                  <c:v>3645584244.5319791</c:v>
                </c:pt>
                <c:pt idx="21">
                  <c:v>3599777355.446569</c:v>
                </c:pt>
                <c:pt idx="22">
                  <c:v>3544518057.4094853</c:v>
                </c:pt>
                <c:pt idx="23">
                  <c:v>3479533539.5142994</c:v>
                </c:pt>
                <c:pt idx="24">
                  <c:v>3404576867.8604412</c:v>
                </c:pt>
                <c:pt idx="25">
                  <c:v>3319431571.8461828</c:v>
                </c:pt>
                <c:pt idx="26">
                  <c:v>3223912989.3731756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12-4823-8A62-8C2B76F5B3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6023071"/>
        <c:axId val="1316022111"/>
      </c:scatterChart>
      <c:valAx>
        <c:axId val="13160230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6022111"/>
        <c:crosses val="autoZero"/>
        <c:crossBetween val="midCat"/>
      </c:valAx>
      <c:valAx>
        <c:axId val="1316022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6023071"/>
        <c:crosses val="autoZero"/>
        <c:crossBetween val="midCat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0" i="0" u="none" strike="noStrike" baseline="0"/>
              <a:t>Total Revenue under Logistic Compliance &amp; ETI — Top, Higher, Basic Sweeps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Total vs Top Rate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'Multi-bracket model'!$T$6:$T$32</c:f>
              <c:numCache>
                <c:formatCode>General</c:formatCode>
                <c:ptCount val="27"/>
                <c:pt idx="0">
                  <c:v>0.3</c:v>
                </c:pt>
                <c:pt idx="1">
                  <c:v>0.32</c:v>
                </c:pt>
                <c:pt idx="2">
                  <c:v>0.34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0.45</c:v>
                </c:pt>
                <c:pt idx="9">
                  <c:v>0.46</c:v>
                </c:pt>
                <c:pt idx="10">
                  <c:v>0.48</c:v>
                </c:pt>
                <c:pt idx="11">
                  <c:v>0.5</c:v>
                </c:pt>
                <c:pt idx="12">
                  <c:v>0.52</c:v>
                </c:pt>
                <c:pt idx="13">
                  <c:v>0.54</c:v>
                </c:pt>
                <c:pt idx="14">
                  <c:v>0.56000000000000005</c:v>
                </c:pt>
                <c:pt idx="15">
                  <c:v>0.57999999999999996</c:v>
                </c:pt>
                <c:pt idx="16">
                  <c:v>0.6</c:v>
                </c:pt>
                <c:pt idx="17">
                  <c:v>0.62</c:v>
                </c:pt>
                <c:pt idx="18">
                  <c:v>0.64</c:v>
                </c:pt>
                <c:pt idx="19">
                  <c:v>0.66</c:v>
                </c:pt>
                <c:pt idx="20">
                  <c:v>0.68</c:v>
                </c:pt>
                <c:pt idx="21">
                  <c:v>0.7</c:v>
                </c:pt>
                <c:pt idx="22">
                  <c:v>0.72</c:v>
                </c:pt>
                <c:pt idx="23">
                  <c:v>0.74</c:v>
                </c:pt>
                <c:pt idx="24">
                  <c:v>0.76</c:v>
                </c:pt>
                <c:pt idx="25">
                  <c:v>0.78</c:v>
                </c:pt>
                <c:pt idx="26">
                  <c:v>0.8</c:v>
                </c:pt>
              </c:numCache>
            </c:numRef>
          </c:xVal>
          <c:yVal>
            <c:numRef>
              <c:f>'Multi-bracket model'!$U$6:$U$32</c:f>
              <c:numCache>
                <c:formatCode>General</c:formatCode>
                <c:ptCount val="27"/>
                <c:pt idx="0">
                  <c:v>3105924026.6006889</c:v>
                </c:pt>
                <c:pt idx="1">
                  <c:v>3187049529.8292265</c:v>
                </c:pt>
                <c:pt idx="2">
                  <c:v>3263394579.3966055</c:v>
                </c:pt>
                <c:pt idx="3">
                  <c:v>3334818751.5397882</c:v>
                </c:pt>
                <c:pt idx="4">
                  <c:v>3401170877.6100731</c:v>
                </c:pt>
                <c:pt idx="5">
                  <c:v>3462288285.9317904</c:v>
                </c:pt>
                <c:pt idx="6">
                  <c:v>3517996059.2341013</c:v>
                </c:pt>
                <c:pt idx="7">
                  <c:v>3568106332.0953426</c:v>
                </c:pt>
                <c:pt idx="8">
                  <c:v>3591000000</c:v>
                </c:pt>
                <c:pt idx="9">
                  <c:v>3612417659.740283</c:v>
                </c:pt>
                <c:pt idx="10">
                  <c:v>3650714497.5882044</c:v>
                </c:pt>
                <c:pt idx="11">
                  <c:v>3682766840.1415548</c:v>
                </c:pt>
                <c:pt idx="12">
                  <c:v>3708330077.9844289</c:v>
                </c:pt>
                <c:pt idx="13">
                  <c:v>3727145142.4881124</c:v>
                </c:pt>
                <c:pt idx="14">
                  <c:v>3738939018.6710372</c:v>
                </c:pt>
                <c:pt idx="15">
                  <c:v>3743425716.4903846</c:v>
                </c:pt>
                <c:pt idx="16">
                  <c:v>3740307798.0211263</c:v>
                </c:pt>
                <c:pt idx="17">
                  <c:v>3729278560.0544143</c:v>
                </c:pt>
                <c:pt idx="18">
                  <c:v>3710024965.0405846</c:v>
                </c:pt>
                <c:pt idx="19">
                  <c:v>3682231392.8792324</c:v>
                </c:pt>
                <c:pt idx="20">
                  <c:v>3645584244.5319791</c:v>
                </c:pt>
                <c:pt idx="21">
                  <c:v>3599777355.446569</c:v>
                </c:pt>
                <c:pt idx="22">
                  <c:v>3544518057.4094853</c:v>
                </c:pt>
                <c:pt idx="23">
                  <c:v>3479533539.5142994</c:v>
                </c:pt>
                <c:pt idx="24">
                  <c:v>3404576867.8604412</c:v>
                </c:pt>
                <c:pt idx="25">
                  <c:v>3319431571.8461828</c:v>
                </c:pt>
                <c:pt idx="26">
                  <c:v>3223912989.3731756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27-49E4-BA1A-35CF782A3B27}"/>
            </c:ext>
          </c:extLst>
        </c:ser>
        <c:ser>
          <c:idx val="1"/>
          <c:order val="1"/>
          <c:tx>
            <c:v>Total vs Higher Rate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'Multi-bracket model'!$T$37:$T$62</c:f>
              <c:numCache>
                <c:formatCode>General</c:formatCode>
                <c:ptCount val="26"/>
                <c:pt idx="0">
                  <c:v>0.3</c:v>
                </c:pt>
                <c:pt idx="1">
                  <c:v>0.32</c:v>
                </c:pt>
                <c:pt idx="2">
                  <c:v>0.34</c:v>
                </c:pt>
                <c:pt idx="3">
                  <c:v>0.36</c:v>
                </c:pt>
                <c:pt idx="4">
                  <c:v>0.38</c:v>
                </c:pt>
                <c:pt idx="5">
                  <c:v>0.4</c:v>
                </c:pt>
                <c:pt idx="6">
                  <c:v>0.42</c:v>
                </c:pt>
                <c:pt idx="7">
                  <c:v>0.44</c:v>
                </c:pt>
                <c:pt idx="8">
                  <c:v>0.46</c:v>
                </c:pt>
                <c:pt idx="9">
                  <c:v>0.48</c:v>
                </c:pt>
                <c:pt idx="10">
                  <c:v>0.5</c:v>
                </c:pt>
                <c:pt idx="11">
                  <c:v>0.52</c:v>
                </c:pt>
                <c:pt idx="12">
                  <c:v>0.54</c:v>
                </c:pt>
                <c:pt idx="13">
                  <c:v>0.56000000000000005</c:v>
                </c:pt>
                <c:pt idx="14">
                  <c:v>0.57999999999999996</c:v>
                </c:pt>
                <c:pt idx="15">
                  <c:v>0.6</c:v>
                </c:pt>
                <c:pt idx="16">
                  <c:v>0.62</c:v>
                </c:pt>
                <c:pt idx="17">
                  <c:v>0.64</c:v>
                </c:pt>
                <c:pt idx="18">
                  <c:v>0.66</c:v>
                </c:pt>
                <c:pt idx="19">
                  <c:v>0.68</c:v>
                </c:pt>
                <c:pt idx="20">
                  <c:v>0.7</c:v>
                </c:pt>
                <c:pt idx="21">
                  <c:v>0.72</c:v>
                </c:pt>
                <c:pt idx="22">
                  <c:v>0.74</c:v>
                </c:pt>
                <c:pt idx="23">
                  <c:v>0.76</c:v>
                </c:pt>
                <c:pt idx="24">
                  <c:v>0.78</c:v>
                </c:pt>
                <c:pt idx="25">
                  <c:v>0.8</c:v>
                </c:pt>
              </c:numCache>
            </c:numRef>
          </c:xVal>
          <c:yVal>
            <c:numRef>
              <c:f>'Multi-bracket model'!$U$37:$U$62</c:f>
              <c:numCache>
                <c:formatCode>General</c:formatCode>
                <c:ptCount val="26"/>
                <c:pt idx="0">
                  <c:v>3370810054.7851572</c:v>
                </c:pt>
                <c:pt idx="1">
                  <c:v>3419673504.7666106</c:v>
                </c:pt>
                <c:pt idx="2">
                  <c:v>3466222954.7839885</c:v>
                </c:pt>
                <c:pt idx="3">
                  <c:v>3510364985.085041</c:v>
                </c:pt>
                <c:pt idx="4">
                  <c:v>3551995818.1615214</c:v>
                </c:pt>
                <c:pt idx="5">
                  <c:v>3591000000</c:v>
                </c:pt>
                <c:pt idx="6">
                  <c:v>3627248964.9008541</c:v>
                </c:pt>
                <c:pt idx="7">
                  <c:v>3660599498.0747509</c:v>
                </c:pt>
                <c:pt idx="8">
                  <c:v>3690892122.885416</c:v>
                </c:pt>
                <c:pt idx="9">
                  <c:v>3717949457.0396852</c:v>
                </c:pt>
                <c:pt idx="10">
                  <c:v>3741574605.4293451</c:v>
                </c:pt>
                <c:pt idx="11">
                  <c:v>3761549687.9713507</c:v>
                </c:pt>
                <c:pt idx="12">
                  <c:v>3777634639.8534555</c:v>
                </c:pt>
                <c:pt idx="13">
                  <c:v>3789566469.8813782</c:v>
                </c:pt>
                <c:pt idx="14">
                  <c:v>3797059220.1190028</c:v>
                </c:pt>
                <c:pt idx="15">
                  <c:v>3799804935.1492033</c:v>
                </c:pt>
                <c:pt idx="16">
                  <c:v>3797476017.9349318</c:v>
                </c:pt>
                <c:pt idx="17">
                  <c:v>3789729413.3911419</c:v>
                </c:pt>
                <c:pt idx="18">
                  <c:v>3776213106.8017735</c:v>
                </c:pt>
                <c:pt idx="19">
                  <c:v>3756575431.2747259</c:v>
                </c:pt>
                <c:pt idx="20">
                  <c:v>3730477617.0212355</c:v>
                </c:pt>
                <c:pt idx="21">
                  <c:v>3697609846.9394932</c:v>
                </c:pt>
                <c:pt idx="22">
                  <c:v>3657710762.1521635</c:v>
                </c:pt>
                <c:pt idx="23">
                  <c:v>3610589839.5852242</c:v>
                </c:pt>
                <c:pt idx="24">
                  <c:v>3556151297.718586</c:v>
                </c:pt>
                <c:pt idx="25">
                  <c:v>3494417143.1471434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A27-49E4-BA1A-35CF782A3B27}"/>
            </c:ext>
          </c:extLst>
        </c:ser>
        <c:ser>
          <c:idx val="2"/>
          <c:order val="2"/>
          <c:tx>
            <c:v>Total vs Basic Rate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'Multi-bracket model'!$T$67:$T$102</c:f>
              <c:numCache>
                <c:formatCode>General</c:formatCode>
                <c:ptCount val="36"/>
                <c:pt idx="0">
                  <c:v>0.1</c:v>
                </c:pt>
                <c:pt idx="1">
                  <c:v>0.12</c:v>
                </c:pt>
                <c:pt idx="2">
                  <c:v>0.14000000000000001</c:v>
                </c:pt>
                <c:pt idx="3">
                  <c:v>0.16</c:v>
                </c:pt>
                <c:pt idx="4">
                  <c:v>0.18</c:v>
                </c:pt>
                <c:pt idx="5">
                  <c:v>0.2</c:v>
                </c:pt>
                <c:pt idx="6">
                  <c:v>0.22</c:v>
                </c:pt>
                <c:pt idx="7">
                  <c:v>0.24</c:v>
                </c:pt>
                <c:pt idx="8">
                  <c:v>0.26</c:v>
                </c:pt>
                <c:pt idx="9">
                  <c:v>0.28000000000000003</c:v>
                </c:pt>
                <c:pt idx="10">
                  <c:v>0.3</c:v>
                </c:pt>
                <c:pt idx="11">
                  <c:v>0.32</c:v>
                </c:pt>
                <c:pt idx="12">
                  <c:v>0.34</c:v>
                </c:pt>
                <c:pt idx="13">
                  <c:v>0.36</c:v>
                </c:pt>
                <c:pt idx="14">
                  <c:v>0.38</c:v>
                </c:pt>
                <c:pt idx="15">
                  <c:v>0.4</c:v>
                </c:pt>
                <c:pt idx="16">
                  <c:v>0.42</c:v>
                </c:pt>
                <c:pt idx="17">
                  <c:v>0.44</c:v>
                </c:pt>
                <c:pt idx="18">
                  <c:v>0.46</c:v>
                </c:pt>
                <c:pt idx="19">
                  <c:v>0.48</c:v>
                </c:pt>
                <c:pt idx="20">
                  <c:v>0.5</c:v>
                </c:pt>
                <c:pt idx="21">
                  <c:v>0.52</c:v>
                </c:pt>
                <c:pt idx="22">
                  <c:v>0.54</c:v>
                </c:pt>
                <c:pt idx="23">
                  <c:v>0.56000000000000005</c:v>
                </c:pt>
                <c:pt idx="24">
                  <c:v>0.57999999999999996</c:v>
                </c:pt>
                <c:pt idx="25">
                  <c:v>0.6</c:v>
                </c:pt>
                <c:pt idx="26">
                  <c:v>0.62</c:v>
                </c:pt>
                <c:pt idx="27">
                  <c:v>0.64</c:v>
                </c:pt>
                <c:pt idx="28">
                  <c:v>0.66</c:v>
                </c:pt>
                <c:pt idx="29">
                  <c:v>0.68</c:v>
                </c:pt>
                <c:pt idx="30">
                  <c:v>0.7</c:v>
                </c:pt>
                <c:pt idx="31">
                  <c:v>0.72</c:v>
                </c:pt>
                <c:pt idx="32">
                  <c:v>0.74</c:v>
                </c:pt>
                <c:pt idx="33">
                  <c:v>0.76</c:v>
                </c:pt>
                <c:pt idx="34">
                  <c:v>0.78</c:v>
                </c:pt>
                <c:pt idx="35">
                  <c:v>0.79999999999999905</c:v>
                </c:pt>
              </c:numCache>
            </c:numRef>
          </c:xVal>
          <c:yVal>
            <c:numRef>
              <c:f>'Multi-bracket model'!$U$67:$U$102</c:f>
              <c:numCache>
                <c:formatCode>General</c:formatCode>
                <c:ptCount val="36"/>
                <c:pt idx="0">
                  <c:v>3493852084.7688351</c:v>
                </c:pt>
                <c:pt idx="1">
                  <c:v>3513651327.7503095</c:v>
                </c:pt>
                <c:pt idx="2">
                  <c:v>3533292045.1677809</c:v>
                </c:pt>
                <c:pt idx="3">
                  <c:v>3552751178.9325933</c:v>
                </c:pt>
                <c:pt idx="4">
                  <c:v>3571999510.8703895</c:v>
                </c:pt>
                <c:pt idx="5">
                  <c:v>3591000000</c:v>
                </c:pt>
                <c:pt idx="6">
                  <c:v>3609705721.0328879</c:v>
                </c:pt>
                <c:pt idx="7">
                  <c:v>3628057337.8274503</c:v>
                </c:pt>
                <c:pt idx="8">
                  <c:v>3645980052.877965</c:v>
                </c:pt>
                <c:pt idx="9">
                  <c:v>3663379996.3274188</c:v>
                </c:pt>
                <c:pt idx="10">
                  <c:v>3680140064.9538012</c:v>
                </c:pt>
                <c:pt idx="11">
                  <c:v>3696115306.1906548</c:v>
                </c:pt>
                <c:pt idx="12">
                  <c:v>3711128081.1236773</c:v>
                </c:pt>
                <c:pt idx="13">
                  <c:v>3724963451.91924</c:v>
                </c:pt>
                <c:pt idx="14">
                  <c:v>3737365538.2766747</c:v>
                </c:pt>
                <c:pt idx="15">
                  <c:v>3748035975.1003361</c:v>
                </c:pt>
                <c:pt idx="16">
                  <c:v>3756636047.6706686</c:v>
                </c:pt>
                <c:pt idx="17">
                  <c:v>3762794489.5481234</c:v>
                </c:pt>
                <c:pt idx="18">
                  <c:v>3766123122.4080787</c:v>
                </c:pt>
                <c:pt idx="19">
                  <c:v>3766242216.1859674</c:v>
                </c:pt>
                <c:pt idx="20">
                  <c:v>3762816313.3429427</c:v>
                </c:pt>
                <c:pt idx="21">
                  <c:v>3755599031.5127697</c:v>
                </c:pt>
                <c:pt idx="22">
                  <c:v>3744482100.2320051</c:v>
                </c:pt>
                <c:pt idx="23">
                  <c:v>3729540279.5744734</c:v>
                </c:pt>
                <c:pt idx="24">
                  <c:v>3711061251.1301584</c:v>
                </c:pt>
                <c:pt idx="25">
                  <c:v>3689549820.546001</c:v>
                </c:pt>
                <c:pt idx="26">
                  <c:v>3665700001.939187</c:v>
                </c:pt>
                <c:pt idx="27">
                  <c:v>3640336268.7396183</c:v>
                </c:pt>
                <c:pt idx="28">
                  <c:v>3614333903.6878858</c:v>
                </c:pt>
                <c:pt idx="29">
                  <c:v>3588534377.1327872</c:v>
                </c:pt>
                <c:pt idx="30">
                  <c:v>3563672410.7565937</c:v>
                </c:pt>
                <c:pt idx="31">
                  <c:v>3540326772.1499276</c:v>
                </c:pt>
                <c:pt idx="32">
                  <c:v>3518899288.0355282</c:v>
                </c:pt>
                <c:pt idx="33">
                  <c:v>3499619325.74863</c:v>
                </c:pt>
                <c:pt idx="34">
                  <c:v>3482566414.7055945</c:v>
                </c:pt>
                <c:pt idx="35">
                  <c:v>3467702368.7747059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A27-49E4-BA1A-35CF782A3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21063887"/>
        <c:axId val="2021064847"/>
      </c:scatterChart>
      <c:valAx>
        <c:axId val="20210638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1064847"/>
        <c:crosses val="autoZero"/>
        <c:crossBetween val="midCat"/>
      </c:valAx>
      <c:valAx>
        <c:axId val="2021064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1063887"/>
        <c:crosses val="autoZero"/>
        <c:crossBetween val="midCat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236482</xdr:colOff>
      <xdr:row>0</xdr:row>
      <xdr:rowOff>144516</xdr:rowOff>
    </xdr:from>
    <xdr:to>
      <xdr:col>4</xdr:col>
      <xdr:colOff>466397</xdr:colOff>
      <xdr:row>3</xdr:row>
      <xdr:rowOff>67276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A9CDAA-1583-2F10-C0BA-D842230E0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396" y="144516"/>
          <a:ext cx="3921673" cy="494260"/>
        </a:xfrm>
        <a:prstGeom prst="rect">
          <a:avLst/>
        </a:prstGeom>
      </xdr:spPr>
    </xdr:pic>
    <xdr:clientData/>
  </xdr:twoCellAnchor>
  <xdr:twoCellAnchor editAs="oneCell">
    <xdr:from>
      <xdr:col>4</xdr:col>
      <xdr:colOff>860534</xdr:colOff>
      <xdr:row>0</xdr:row>
      <xdr:rowOff>118242</xdr:rowOff>
    </xdr:from>
    <xdr:to>
      <xdr:col>7</xdr:col>
      <xdr:colOff>525128</xdr:colOff>
      <xdr:row>4</xdr:row>
      <xdr:rowOff>70717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05048C5-EF30-7199-D406-0275E5EEC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63206" y="118242"/>
          <a:ext cx="1924319" cy="714475"/>
        </a:xfrm>
        <a:prstGeom prst="rect">
          <a:avLst/>
        </a:prstGeom>
      </xdr:spPr>
    </xdr:pic>
    <xdr:clientData/>
  </xdr:twoCellAnchor>
  <xdr:twoCellAnchor editAs="oneCell">
    <xdr:from>
      <xdr:col>8</xdr:col>
      <xdr:colOff>426983</xdr:colOff>
      <xdr:row>0</xdr:row>
      <xdr:rowOff>45982</xdr:rowOff>
    </xdr:from>
    <xdr:to>
      <xdr:col>14</xdr:col>
      <xdr:colOff>448189</xdr:colOff>
      <xdr:row>4</xdr:row>
      <xdr:rowOff>150878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5B100F0-EF20-AC82-6BF6-5A3A3FB26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63104" y="45982"/>
          <a:ext cx="3686689" cy="866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15</xdr:row>
      <xdr:rowOff>47624</xdr:rowOff>
    </xdr:from>
    <xdr:to>
      <xdr:col>2</xdr:col>
      <xdr:colOff>285750</xdr:colOff>
      <xdr:row>33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36EEA67-9600-4706-98AF-7AB9A701C2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101599</xdr:colOff>
      <xdr:row>19</xdr:row>
      <xdr:rowOff>73025</xdr:rowOff>
    </xdr:from>
    <xdr:to>
      <xdr:col>2</xdr:col>
      <xdr:colOff>196850</xdr:colOff>
      <xdr:row>38</xdr:row>
      <xdr:rowOff>15874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3B11CA-A109-4ED2-9290-BC37DA1556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374431</xdr:colOff>
      <xdr:row>3</xdr:row>
      <xdr:rowOff>83424</xdr:rowOff>
    </xdr:from>
    <xdr:to>
      <xdr:col>10</xdr:col>
      <xdr:colOff>374431</xdr:colOff>
      <xdr:row>17</xdr:row>
      <xdr:rowOff>159624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12CA995-D032-2F29-3659-413F6A3B86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13139</xdr:colOff>
      <xdr:row>0</xdr:row>
      <xdr:rowOff>59121</xdr:rowOff>
    </xdr:from>
    <xdr:to>
      <xdr:col>2</xdr:col>
      <xdr:colOff>1412326</xdr:colOff>
      <xdr:row>0</xdr:row>
      <xdr:rowOff>561955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701B6E-9923-838D-1261-63099278E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69984" y="59121"/>
          <a:ext cx="1399187" cy="50283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177799</xdr:colOff>
      <xdr:row>19</xdr:row>
      <xdr:rowOff>111125</xdr:rowOff>
    </xdr:from>
    <xdr:to>
      <xdr:col>2</xdr:col>
      <xdr:colOff>273050</xdr:colOff>
      <xdr:row>38</xdr:row>
      <xdr:rowOff>53974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1808AF-B46D-4EB3-AE35-71EA02CCB4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10</xdr:row>
      <xdr:rowOff>42862</xdr:rowOff>
    </xdr:from>
    <xdr:to>
      <xdr:col>4</xdr:col>
      <xdr:colOff>1343025</xdr:colOff>
      <xdr:row>24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6AB6CCF-C32A-E979-EF8B-B93B4C07AB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223836</xdr:colOff>
      <xdr:row>11</xdr:row>
      <xdr:rowOff>90486</xdr:rowOff>
    </xdr:from>
    <xdr:to>
      <xdr:col>18</xdr:col>
      <xdr:colOff>466724</xdr:colOff>
      <xdr:row>28</xdr:row>
      <xdr:rowOff>171449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6B40DD-65C1-8BA7-DB34-FEA6A80C2F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930088</xdr:colOff>
      <xdr:row>33</xdr:row>
      <xdr:rowOff>45944</xdr:rowOff>
    </xdr:from>
    <xdr:to>
      <xdr:col>18</xdr:col>
      <xdr:colOff>201705</xdr:colOff>
      <xdr:row>60</xdr:row>
      <xdr:rowOff>56030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DD3C8C3-FFDE-1E9D-571E-38B971F15D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0.71858</cdr:x>
      <cdr:y>0.02257</cdr:y>
    </cdr:from>
    <cdr:to>
      <cdr:x>0.97131</cdr:x>
      <cdr:y>0.1441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E5E4479-E5C4-DABA-3DE8-129391163F0C}"/>
            </a:ext>
          </a:extLst>
        </cdr:cNvPr>
        <cdr:cNvSpPr txBox="1"/>
      </cdr:nvSpPr>
      <cdr:spPr>
        <a:xfrm xmlns:a="http://schemas.openxmlformats.org/drawingml/2006/main">
          <a:off x="5010150" y="61913"/>
          <a:ext cx="1762125" cy="333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 kern="1200"/>
        </a:p>
      </cdr:txBody>
    </cdr:sp>
  </cdr:relSizeAnchor>
  <cdr:relSizeAnchor xmlns:cdr="http://schemas.openxmlformats.org/drawingml/2006/chartDrawing">
    <cdr:from>
      <cdr:x>0.85109</cdr:x>
      <cdr:y>0.0434</cdr:y>
    </cdr:from>
    <cdr:to>
      <cdr:x>0.99044</cdr:x>
      <cdr:y>0.13715</cdr:y>
    </cdr:to>
    <cdr:sp macro="" textlink="'Multi-bracket model'!$R$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1123DA83-BE42-0C05-CCD0-7961133166A4}"/>
            </a:ext>
          </a:extLst>
        </cdr:cNvPr>
        <cdr:cNvSpPr txBox="1"/>
      </cdr:nvSpPr>
      <cdr:spPr>
        <a:xfrm xmlns:a="http://schemas.openxmlformats.org/drawingml/2006/main">
          <a:off x="5934075" y="119063"/>
          <a:ext cx="97155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78E42A3-E9C6-403B-AF16-8CA2CEAE4F41}" type="TxLink">
            <a:rPr lang="en-US" sz="1100" b="0" i="0" u="none" strike="noStrike" kern="1200">
              <a:solidFill>
                <a:srgbClr val="000000"/>
              </a:solidFill>
              <a:latin typeface="Aptos Narrow"/>
            </a:rPr>
            <a:t>3591000000</a:t>
          </a:fld>
          <a:endParaRPr lang="en-GB" sz="1100" kern="12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9966E-6F23-4AF1-BAC5-06316664CF99}">
  <dimension ref="B2:N29"/>
  <sheetViews>
    <sheetView topLeftCell="A4" zoomScale="115" zoomScaleNormal="115" workbookViewId="0">
      <selection activeCell="K8" sqref="K8"/>
    </sheetView>
  </sheetViews>
  <sheetFormatPr defaultRowHeight="15" x14ac:dyDescent="0.25"/>
  <cols>
    <col min="2" max="2" width="39" bestFit="1" customWidth="1"/>
    <col min="3" max="3" width="21.7109375" bestFit="1" customWidth="1"/>
    <col min="4" max="4" width="16.140625" bestFit="1" customWidth="1"/>
    <col min="5" max="5" width="8" bestFit="1" customWidth="1"/>
    <col min="6" max="6" width="9.7109375" bestFit="1" customWidth="1"/>
    <col min="11" max="12" width="13.140625" bestFit="1" customWidth="1"/>
    <col min="14" max="14" width="20.5703125" bestFit="1" customWidth="1"/>
  </cols>
  <sheetData>
    <row r="2" spans="2:12" ht="21" x14ac:dyDescent="0.35">
      <c r="B2" s="15" t="s">
        <v>14</v>
      </c>
    </row>
    <row r="3" spans="2:12" x14ac:dyDescent="0.25">
      <c r="B3" s="1"/>
    </row>
    <row r="4" spans="2:12" ht="45" x14ac:dyDescent="0.25">
      <c r="B4" s="2" t="s">
        <v>4</v>
      </c>
      <c r="C4" s="3" t="s">
        <v>5</v>
      </c>
      <c r="D4" s="3" t="s">
        <v>6</v>
      </c>
      <c r="E4" s="4" t="s">
        <v>3</v>
      </c>
      <c r="F4" s="4" t="s">
        <v>13</v>
      </c>
      <c r="G4" s="3" t="s">
        <v>8</v>
      </c>
      <c r="H4" s="3" t="s">
        <v>9</v>
      </c>
      <c r="I4" s="3" t="s">
        <v>17</v>
      </c>
      <c r="J4" s="3" t="s">
        <v>11</v>
      </c>
      <c r="K4" s="3" t="s">
        <v>18</v>
      </c>
      <c r="L4" s="5" t="s">
        <v>19</v>
      </c>
    </row>
    <row r="5" spans="2:12" x14ac:dyDescent="0.25">
      <c r="B5" s="6" t="s">
        <v>10</v>
      </c>
      <c r="C5" s="7">
        <v>3.9</v>
      </c>
      <c r="D5" s="8">
        <f>(C5/$C$9)</f>
        <v>0.11370262390670555</v>
      </c>
      <c r="E5" s="9">
        <v>0</v>
      </c>
      <c r="F5" s="10">
        <f>E5</f>
        <v>0</v>
      </c>
      <c r="G5">
        <v>0</v>
      </c>
      <c r="H5">
        <v>12570</v>
      </c>
      <c r="I5" t="s">
        <v>16</v>
      </c>
      <c r="J5">
        <f>AVERAGE(G5:H5)</f>
        <v>6285</v>
      </c>
      <c r="K5" s="18">
        <f>E5*J5</f>
        <v>0</v>
      </c>
      <c r="L5" s="16">
        <f>K5*C5</f>
        <v>0</v>
      </c>
    </row>
    <row r="6" spans="2:12" x14ac:dyDescent="0.25">
      <c r="B6" s="6" t="s">
        <v>0</v>
      </c>
      <c r="C6" s="7">
        <v>23.9</v>
      </c>
      <c r="D6" s="8">
        <f>(C6/$C$9)</f>
        <v>0.69679300291545188</v>
      </c>
      <c r="E6" s="9">
        <v>0.2</v>
      </c>
      <c r="F6" s="10">
        <f>E6</f>
        <v>0.2</v>
      </c>
      <c r="G6">
        <v>12571</v>
      </c>
      <c r="H6">
        <v>50270</v>
      </c>
      <c r="I6">
        <f>H6/G6</f>
        <v>3.9988863256701932</v>
      </c>
      <c r="J6">
        <f t="shared" ref="J6:J8" si="0">AVERAGE(G6:H6)</f>
        <v>31420.5</v>
      </c>
      <c r="K6" s="18">
        <f>((J6-G6)*F6)+((H5-G5)*E5)</f>
        <v>3769.9</v>
      </c>
      <c r="L6" s="16">
        <f>K6*C6</f>
        <v>90100.61</v>
      </c>
    </row>
    <row r="7" spans="2:12" x14ac:dyDescent="0.25">
      <c r="B7" s="6" t="s">
        <v>1</v>
      </c>
      <c r="C7" s="7">
        <v>5.5</v>
      </c>
      <c r="D7" s="8">
        <f>(C7/$C$9)</f>
        <v>0.16034985422740525</v>
      </c>
      <c r="E7" s="9">
        <v>0.4</v>
      </c>
      <c r="F7" s="10">
        <f t="shared" ref="F7:F8" si="1">E7</f>
        <v>0.4</v>
      </c>
      <c r="G7">
        <v>50271</v>
      </c>
      <c r="H7">
        <v>125140</v>
      </c>
      <c r="I7">
        <f>H7/G7</f>
        <v>2.4893079509060891</v>
      </c>
      <c r="J7">
        <f t="shared" si="0"/>
        <v>87705.5</v>
      </c>
      <c r="K7" s="18">
        <f>((J7-G7)*F7)+((H6-G6)*F6)+((H5-G5)*F5)</f>
        <v>22513.600000000002</v>
      </c>
      <c r="L7" s="16">
        <f>K7*C7</f>
        <v>123824.80000000002</v>
      </c>
    </row>
    <row r="8" spans="2:12" x14ac:dyDescent="0.25">
      <c r="B8" s="6" t="s">
        <v>2</v>
      </c>
      <c r="C8" s="7">
        <v>1</v>
      </c>
      <c r="D8" s="8">
        <f>(C8/$C$9)</f>
        <v>2.915451895043732E-2</v>
      </c>
      <c r="E8" s="9">
        <v>0.45</v>
      </c>
      <c r="F8" s="10">
        <f t="shared" si="1"/>
        <v>0.45</v>
      </c>
      <c r="G8">
        <v>125140</v>
      </c>
      <c r="H8">
        <f>G8*I8</f>
        <v>264283.7917</v>
      </c>
      <c r="I8">
        <v>2.1119050000000001</v>
      </c>
      <c r="J8">
        <f t="shared" si="0"/>
        <v>194711.89585</v>
      </c>
      <c r="K8" s="18">
        <f>((J8-G8)*F8)+((H7-G7)*F7)+((H6-G6)*F6)+((H5-G5)*F5)</f>
        <v>68794.753132500002</v>
      </c>
      <c r="L8" s="16">
        <f>K8*C8</f>
        <v>68794.753132500002</v>
      </c>
    </row>
    <row r="9" spans="2:12" x14ac:dyDescent="0.25">
      <c r="B9" s="11" t="s">
        <v>7</v>
      </c>
      <c r="C9" s="12">
        <f>SUM(C5:C8)</f>
        <v>34.299999999999997</v>
      </c>
      <c r="D9" s="13">
        <f>SUM(D5:D8)</f>
        <v>1</v>
      </c>
      <c r="E9" s="14"/>
      <c r="F9" s="14"/>
      <c r="G9" s="14"/>
      <c r="H9" s="14"/>
      <c r="I9" s="14"/>
      <c r="J9" s="14"/>
      <c r="K9" s="14"/>
      <c r="L9" s="17">
        <f>SUM(L5:L8)</f>
        <v>282720.16313250002</v>
      </c>
    </row>
    <row r="12" spans="2:12" ht="21" x14ac:dyDescent="0.35">
      <c r="B12" s="15" t="s">
        <v>15</v>
      </c>
    </row>
    <row r="14" spans="2:12" ht="45" x14ac:dyDescent="0.25">
      <c r="B14" s="2" t="s">
        <v>4</v>
      </c>
      <c r="C14" s="3" t="s">
        <v>5</v>
      </c>
      <c r="D14" s="3" t="s">
        <v>6</v>
      </c>
      <c r="E14" s="4" t="s">
        <v>3</v>
      </c>
      <c r="F14" s="4" t="s">
        <v>13</v>
      </c>
      <c r="G14" s="3" t="s">
        <v>8</v>
      </c>
      <c r="H14" s="3" t="s">
        <v>9</v>
      </c>
      <c r="I14" s="3" t="s">
        <v>17</v>
      </c>
      <c r="J14" s="3" t="s">
        <v>11</v>
      </c>
      <c r="K14" s="3" t="s">
        <v>18</v>
      </c>
      <c r="L14" s="5" t="s">
        <v>12</v>
      </c>
    </row>
    <row r="15" spans="2:12" x14ac:dyDescent="0.25">
      <c r="B15" s="6" t="s">
        <v>10</v>
      </c>
      <c r="C15" s="7">
        <v>3.9</v>
      </c>
      <c r="D15" s="8">
        <f>(C15/$C$19)</f>
        <v>0.11370262390670555</v>
      </c>
      <c r="E15" s="9">
        <v>0</v>
      </c>
      <c r="F15" s="10">
        <f>E15</f>
        <v>0</v>
      </c>
      <c r="G15">
        <v>0</v>
      </c>
      <c r="H15">
        <v>12570</v>
      </c>
      <c r="I15" t="s">
        <v>16</v>
      </c>
      <c r="J15">
        <f>AVERAGE(G15:H15)</f>
        <v>6285</v>
      </c>
      <c r="K15" s="18">
        <f>J15*F15</f>
        <v>0</v>
      </c>
      <c r="L15" s="16">
        <f>K15*C15</f>
        <v>0</v>
      </c>
    </row>
    <row r="16" spans="2:12" x14ac:dyDescent="0.25">
      <c r="B16" s="6" t="s">
        <v>0</v>
      </c>
      <c r="C16" s="7">
        <v>23.9</v>
      </c>
      <c r="D16" s="8">
        <f t="shared" ref="D16:D18" si="2">(C16/$C$19)</f>
        <v>0.69679300291545188</v>
      </c>
      <c r="E16" s="9">
        <v>0.27</v>
      </c>
      <c r="F16" s="10">
        <f>E16</f>
        <v>0.27</v>
      </c>
      <c r="G16">
        <v>12571</v>
      </c>
      <c r="H16">
        <v>50270</v>
      </c>
      <c r="I16">
        <f>H16/G16</f>
        <v>3.9988863256701932</v>
      </c>
      <c r="J16">
        <f t="shared" ref="J16:J17" si="3">AVERAGE(G16:H16)</f>
        <v>31420.5</v>
      </c>
      <c r="K16" s="18">
        <f>((J16-G16)*F16)+((H15-G15)*F15)</f>
        <v>5089.3650000000007</v>
      </c>
      <c r="L16" s="16">
        <f t="shared" ref="L16:L18" si="4">K16*C16</f>
        <v>121635.82350000001</v>
      </c>
    </row>
    <row r="17" spans="2:14" x14ac:dyDescent="0.25">
      <c r="B17" s="6" t="s">
        <v>1</v>
      </c>
      <c r="C17" s="7">
        <v>5.5</v>
      </c>
      <c r="D17" s="8">
        <f t="shared" si="2"/>
        <v>0.16034985422740525</v>
      </c>
      <c r="E17" s="9">
        <v>0.27</v>
      </c>
      <c r="F17" s="10">
        <f t="shared" ref="F17:F18" si="5">E17</f>
        <v>0.27</v>
      </c>
      <c r="G17">
        <v>50271</v>
      </c>
      <c r="H17">
        <v>125140</v>
      </c>
      <c r="I17">
        <f>H17/G17</f>
        <v>2.4893079509060891</v>
      </c>
      <c r="J17">
        <f t="shared" si="3"/>
        <v>87705.5</v>
      </c>
      <c r="K17" s="18">
        <f>((J17-G17)*F17)+((H16-G16)*F16)+((H15-G15)*F15)</f>
        <v>20286.045000000002</v>
      </c>
      <c r="L17" s="16">
        <f t="shared" si="4"/>
        <v>111573.24750000001</v>
      </c>
    </row>
    <row r="18" spans="2:14" x14ac:dyDescent="0.25">
      <c r="B18" s="6" t="s">
        <v>2</v>
      </c>
      <c r="C18" s="7">
        <v>1</v>
      </c>
      <c r="D18" s="8">
        <f t="shared" si="2"/>
        <v>2.915451895043732E-2</v>
      </c>
      <c r="E18" s="9">
        <v>0.27</v>
      </c>
      <c r="F18" s="10">
        <f t="shared" si="5"/>
        <v>0.27</v>
      </c>
      <c r="G18">
        <v>125140</v>
      </c>
      <c r="H18">
        <f>G18*I18</f>
        <v>264283.7917</v>
      </c>
      <c r="I18">
        <v>2.1119050000000001</v>
      </c>
      <c r="J18">
        <f>AVERAGE(G18:H18)</f>
        <v>194711.89585</v>
      </c>
      <c r="K18" s="18">
        <f>((J18-G18)*F18)+((H17-G17)*F17)+((H16-G16)*F16)+((H15-G15)*F15)</f>
        <v>49177.771879500004</v>
      </c>
      <c r="L18" s="16">
        <f t="shared" si="4"/>
        <v>49177.771879500004</v>
      </c>
    </row>
    <row r="19" spans="2:14" x14ac:dyDescent="0.25">
      <c r="B19" s="11" t="s">
        <v>7</v>
      </c>
      <c r="C19" s="12">
        <f>SUM(C15:C18)</f>
        <v>34.299999999999997</v>
      </c>
      <c r="D19" s="13">
        <f>SUM(D15:D18)</f>
        <v>1</v>
      </c>
      <c r="E19" s="14"/>
      <c r="F19" s="14"/>
      <c r="G19" s="14"/>
      <c r="H19" s="14"/>
      <c r="I19" s="14"/>
      <c r="J19" s="14"/>
      <c r="K19" s="14"/>
      <c r="L19" s="17">
        <f>SUM(L15:L18)</f>
        <v>282386.84287950001</v>
      </c>
    </row>
    <row r="22" spans="2:14" ht="21" x14ac:dyDescent="0.35">
      <c r="B22" s="15" t="s">
        <v>54</v>
      </c>
      <c r="N22" s="15" t="s">
        <v>62</v>
      </c>
    </row>
    <row r="24" spans="2:14" ht="45" x14ac:dyDescent="0.25">
      <c r="B24" s="2" t="s">
        <v>4</v>
      </c>
      <c r="C24" s="3" t="s">
        <v>5</v>
      </c>
      <c r="D24" s="3" t="s">
        <v>6</v>
      </c>
      <c r="E24" s="4" t="s">
        <v>3</v>
      </c>
      <c r="F24" s="4" t="s">
        <v>13</v>
      </c>
      <c r="G24" s="3" t="s">
        <v>8</v>
      </c>
      <c r="H24" s="3" t="s">
        <v>9</v>
      </c>
      <c r="I24" s="3" t="s">
        <v>17</v>
      </c>
      <c r="J24" s="3" t="s">
        <v>11</v>
      </c>
      <c r="K24" s="3" t="s">
        <v>18</v>
      </c>
      <c r="L24" s="5" t="s">
        <v>12</v>
      </c>
    </row>
    <row r="25" spans="2:14" x14ac:dyDescent="0.25">
      <c r="B25" s="6" t="s">
        <v>10</v>
      </c>
      <c r="C25" s="7">
        <v>3.9</v>
      </c>
      <c r="D25" s="8">
        <f>(C25/$C$19)</f>
        <v>0.11370262390670555</v>
      </c>
      <c r="E25" s="9">
        <v>0.35</v>
      </c>
      <c r="F25" s="10">
        <f>E25</f>
        <v>0.35</v>
      </c>
      <c r="G25">
        <v>0</v>
      </c>
      <c r="H25">
        <v>12570</v>
      </c>
      <c r="I25" t="s">
        <v>16</v>
      </c>
      <c r="J25">
        <f>AVERAGE(G25:H25)</f>
        <v>6285</v>
      </c>
      <c r="K25" s="18">
        <f>J25*F25</f>
        <v>2199.75</v>
      </c>
      <c r="L25" s="16">
        <f>K25*C25</f>
        <v>8579.0249999999996</v>
      </c>
    </row>
    <row r="26" spans="2:14" x14ac:dyDescent="0.25">
      <c r="B26" s="6" t="s">
        <v>0</v>
      </c>
      <c r="C26" s="7">
        <v>23.9</v>
      </c>
      <c r="D26" s="8">
        <f t="shared" ref="D26:D28" si="6">(C26/$C$19)</f>
        <v>0.69679300291545188</v>
      </c>
      <c r="E26" s="9">
        <v>0.3</v>
      </c>
      <c r="F26" s="10">
        <f>E26</f>
        <v>0.3</v>
      </c>
      <c r="G26">
        <v>12571</v>
      </c>
      <c r="H26">
        <v>50270</v>
      </c>
      <c r="I26">
        <f>H26/G26</f>
        <v>3.9988863256701932</v>
      </c>
      <c r="J26">
        <f t="shared" ref="J26:J27" si="7">AVERAGE(G26:H26)</f>
        <v>31420.5</v>
      </c>
      <c r="K26" s="18">
        <f>((J26-G26)*F26)+((H25-G25)*F25)</f>
        <v>10054.349999999999</v>
      </c>
      <c r="L26" s="16">
        <f t="shared" ref="L26:L28" si="8">K26*C26</f>
        <v>240298.96499999994</v>
      </c>
    </row>
    <row r="27" spans="2:14" x14ac:dyDescent="0.25">
      <c r="B27" s="6" t="s">
        <v>1</v>
      </c>
      <c r="C27" s="7">
        <v>5.5</v>
      </c>
      <c r="D27" s="8">
        <f t="shared" si="6"/>
        <v>0.16034985422740525</v>
      </c>
      <c r="E27" s="9">
        <v>0.25</v>
      </c>
      <c r="F27" s="10">
        <f t="shared" ref="F27:F28" si="9">E27</f>
        <v>0.25</v>
      </c>
      <c r="G27">
        <v>50271</v>
      </c>
      <c r="H27">
        <v>125140</v>
      </c>
      <c r="I27">
        <f>H27/G27</f>
        <v>2.4893079509060891</v>
      </c>
      <c r="J27">
        <f t="shared" si="7"/>
        <v>87705.5</v>
      </c>
      <c r="K27" s="18">
        <f>((J27-G27)*F27)+((H26-G26)*F26)+((H25-G25)*F25)</f>
        <v>25067.824999999997</v>
      </c>
      <c r="L27" s="16">
        <f t="shared" si="8"/>
        <v>137873.03749999998</v>
      </c>
    </row>
    <row r="28" spans="2:14" x14ac:dyDescent="0.25">
      <c r="B28" s="6" t="s">
        <v>2</v>
      </c>
      <c r="C28" s="7">
        <v>1</v>
      </c>
      <c r="D28" s="8">
        <f t="shared" si="6"/>
        <v>2.915451895043732E-2</v>
      </c>
      <c r="E28" s="9">
        <v>0.2</v>
      </c>
      <c r="F28" s="10">
        <f t="shared" si="9"/>
        <v>0.2</v>
      </c>
      <c r="G28">
        <v>125140</v>
      </c>
      <c r="H28">
        <f>G28*I28</f>
        <v>264283.7917</v>
      </c>
      <c r="I28">
        <v>2.1119050000000001</v>
      </c>
      <c r="J28">
        <f>AVERAGE(G28:H28)</f>
        <v>194711.89585</v>
      </c>
      <c r="K28" s="18">
        <f>((J28-G28)*F28)+((H27-G27)*F27)+((H26-G26)*F26)+((H25-G25)*F25)</f>
        <v>48340.829169999997</v>
      </c>
      <c r="L28" s="16">
        <f t="shared" si="8"/>
        <v>48340.829169999997</v>
      </c>
    </row>
    <row r="29" spans="2:14" x14ac:dyDescent="0.25">
      <c r="B29" s="11" t="s">
        <v>7</v>
      </c>
      <c r="C29" s="12">
        <f>SUM(C25:C28)</f>
        <v>34.299999999999997</v>
      </c>
      <c r="D29" s="13">
        <f>SUM(D25:D28)</f>
        <v>1</v>
      </c>
      <c r="E29" s="14"/>
      <c r="F29" s="14"/>
      <c r="G29" s="14"/>
      <c r="H29" s="14"/>
      <c r="I29" s="14"/>
      <c r="J29" s="14"/>
      <c r="K29" s="14"/>
      <c r="L29" s="17">
        <f>SUM(L25:L28)</f>
        <v>435091.85666999989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1054E-F2DE-4D21-91C9-CB611C8822D2}">
  <dimension ref="B2:L19"/>
  <sheetViews>
    <sheetView topLeftCell="A3" zoomScale="130" zoomScaleNormal="130" workbookViewId="0">
      <selection activeCell="D8" sqref="D8"/>
    </sheetView>
  </sheetViews>
  <sheetFormatPr defaultRowHeight="15" x14ac:dyDescent="0.25"/>
  <cols>
    <col min="2" max="2" width="27.7109375" bestFit="1" customWidth="1"/>
    <col min="3" max="3" width="21.7109375" bestFit="1" customWidth="1"/>
    <col min="4" max="4" width="16.140625" bestFit="1" customWidth="1"/>
    <col min="5" max="5" width="8" bestFit="1" customWidth="1"/>
    <col min="6" max="6" width="9.7109375" bestFit="1" customWidth="1"/>
    <col min="11" max="12" width="13.140625" bestFit="1" customWidth="1"/>
  </cols>
  <sheetData>
    <row r="2" spans="2:12" ht="21" x14ac:dyDescent="0.35">
      <c r="B2" s="15" t="s">
        <v>14</v>
      </c>
    </row>
    <row r="3" spans="2:12" x14ac:dyDescent="0.25">
      <c r="B3" s="1"/>
    </row>
    <row r="4" spans="2:12" ht="45" x14ac:dyDescent="0.25">
      <c r="B4" s="2" t="s">
        <v>4</v>
      </c>
      <c r="C4" s="3" t="s">
        <v>5</v>
      </c>
      <c r="D4" s="3" t="s">
        <v>6</v>
      </c>
      <c r="E4" s="4" t="s">
        <v>3</v>
      </c>
      <c r="F4" s="4" t="s">
        <v>13</v>
      </c>
      <c r="G4" s="3" t="s">
        <v>8</v>
      </c>
      <c r="H4" s="3" t="s">
        <v>9</v>
      </c>
      <c r="I4" s="3" t="s">
        <v>17</v>
      </c>
      <c r="J4" s="3" t="s">
        <v>11</v>
      </c>
      <c r="K4" s="3" t="s">
        <v>18</v>
      </c>
      <c r="L4" s="5" t="s">
        <v>19</v>
      </c>
    </row>
    <row r="5" spans="2:12" x14ac:dyDescent="0.25">
      <c r="B5" s="6" t="s">
        <v>10</v>
      </c>
      <c r="C5" s="7">
        <v>3.9</v>
      </c>
      <c r="D5" s="8">
        <f>(C5/$C$9)</f>
        <v>0.11370262390670555</v>
      </c>
      <c r="E5" s="9">
        <v>0</v>
      </c>
      <c r="F5" s="10">
        <f>E5</f>
        <v>0</v>
      </c>
      <c r="G5">
        <v>0</v>
      </c>
      <c r="H5">
        <v>12570</v>
      </c>
      <c r="I5" t="s">
        <v>16</v>
      </c>
      <c r="J5">
        <f>AVERAGE(G5:H5)</f>
        <v>6285</v>
      </c>
      <c r="K5" s="18">
        <f>E5*J5</f>
        <v>0</v>
      </c>
      <c r="L5" s="16">
        <f>K5*C5</f>
        <v>0</v>
      </c>
    </row>
    <row r="6" spans="2:12" x14ac:dyDescent="0.25">
      <c r="B6" s="6" t="s">
        <v>0</v>
      </c>
      <c r="C6" s="7">
        <v>23.9</v>
      </c>
      <c r="D6" s="8">
        <f>(C6/$C$9)</f>
        <v>0.69679300291545188</v>
      </c>
      <c r="E6" s="9">
        <v>0.2</v>
      </c>
      <c r="F6" s="10">
        <f>E6</f>
        <v>0.2</v>
      </c>
      <c r="G6">
        <v>12571</v>
      </c>
      <c r="H6">
        <v>50270</v>
      </c>
      <c r="I6">
        <f>H6/G6</f>
        <v>3.9988863256701932</v>
      </c>
      <c r="J6">
        <f t="shared" ref="J6:J8" si="0">AVERAGE(G6:H6)</f>
        <v>31420.5</v>
      </c>
      <c r="K6" s="18">
        <f>((J6-G6)*F6)+((H5-G5)*E5)</f>
        <v>3769.9</v>
      </c>
      <c r="L6" s="16">
        <f>K6*C6</f>
        <v>90100.61</v>
      </c>
    </row>
    <row r="7" spans="2:12" x14ac:dyDescent="0.25">
      <c r="B7" s="6" t="s">
        <v>1</v>
      </c>
      <c r="C7" s="7">
        <v>5.5</v>
      </c>
      <c r="D7" s="8">
        <f>(C7/$C$9)</f>
        <v>0.16034985422740525</v>
      </c>
      <c r="E7" s="9">
        <v>0.4</v>
      </c>
      <c r="F7" s="10">
        <f t="shared" ref="F7:F8" si="1">E7</f>
        <v>0.4</v>
      </c>
      <c r="G7">
        <v>50271</v>
      </c>
      <c r="H7">
        <v>125140</v>
      </c>
      <c r="I7">
        <f>H7/G7</f>
        <v>2.4893079509060891</v>
      </c>
      <c r="J7">
        <f t="shared" si="0"/>
        <v>87705.5</v>
      </c>
      <c r="K7" s="18">
        <f>((J7-G7)*F7)+((H6-G6)*F6)+((H5-G5)*F5)</f>
        <v>22513.600000000002</v>
      </c>
      <c r="L7" s="16">
        <f>K7*C7</f>
        <v>123824.80000000002</v>
      </c>
    </row>
    <row r="8" spans="2:12" x14ac:dyDescent="0.25">
      <c r="B8" s="6" t="s">
        <v>2</v>
      </c>
      <c r="C8" s="7">
        <v>1</v>
      </c>
      <c r="D8" s="8">
        <f>(C8/$C$9)</f>
        <v>2.915451895043732E-2</v>
      </c>
      <c r="E8" s="9">
        <v>0.45</v>
      </c>
      <c r="F8" s="10">
        <f t="shared" si="1"/>
        <v>0.45</v>
      </c>
      <c r="G8">
        <v>125140</v>
      </c>
      <c r="H8">
        <f>G8*I8</f>
        <v>264283.7917</v>
      </c>
      <c r="I8">
        <v>2.1119050000000001</v>
      </c>
      <c r="J8">
        <f t="shared" si="0"/>
        <v>194711.89585</v>
      </c>
      <c r="K8" s="18">
        <f>((J8-G8)*F8)+((H7-G7)*F7)+((H6-G6)*F6)+((H5-G5)*F5)</f>
        <v>68794.753132500002</v>
      </c>
      <c r="L8" s="16">
        <f>K8*C8</f>
        <v>68794.753132500002</v>
      </c>
    </row>
    <row r="9" spans="2:12" x14ac:dyDescent="0.25">
      <c r="B9" s="11" t="s">
        <v>7</v>
      </c>
      <c r="C9" s="12">
        <f>SUM(C5:C8)</f>
        <v>34.299999999999997</v>
      </c>
      <c r="D9" s="13">
        <f>SUM(D5:D8)</f>
        <v>1</v>
      </c>
      <c r="E9" s="14"/>
      <c r="F9" s="14"/>
      <c r="G9" s="14"/>
      <c r="H9" s="14"/>
      <c r="I9" s="14"/>
      <c r="J9" s="14"/>
      <c r="K9" s="14"/>
      <c r="L9" s="17">
        <f>SUM(L5:L8)</f>
        <v>282720.16313250002</v>
      </c>
    </row>
    <row r="12" spans="2:12" ht="21" x14ac:dyDescent="0.35">
      <c r="B12" s="15" t="s">
        <v>15</v>
      </c>
    </row>
    <row r="14" spans="2:12" ht="45" x14ac:dyDescent="0.25">
      <c r="B14" s="2" t="s">
        <v>4</v>
      </c>
      <c r="C14" s="3" t="s">
        <v>5</v>
      </c>
      <c r="D14" s="3" t="s">
        <v>6</v>
      </c>
      <c r="E14" s="4" t="s">
        <v>3</v>
      </c>
      <c r="F14" s="4" t="s">
        <v>13</v>
      </c>
      <c r="G14" s="3" t="s">
        <v>8</v>
      </c>
      <c r="H14" s="3" t="s">
        <v>9</v>
      </c>
      <c r="I14" s="3" t="s">
        <v>17</v>
      </c>
      <c r="J14" s="3" t="s">
        <v>11</v>
      </c>
      <c r="K14" s="3" t="s">
        <v>18</v>
      </c>
      <c r="L14" s="5" t="s">
        <v>12</v>
      </c>
    </row>
    <row r="15" spans="2:12" x14ac:dyDescent="0.25">
      <c r="B15" s="6" t="s">
        <v>10</v>
      </c>
      <c r="C15" s="7">
        <v>3.9</v>
      </c>
      <c r="D15" s="8">
        <f>(C15/$C$19)</f>
        <v>0.11370262390670555</v>
      </c>
      <c r="E15" s="9">
        <v>0.2</v>
      </c>
      <c r="F15" s="10">
        <f>E15</f>
        <v>0.2</v>
      </c>
      <c r="G15">
        <v>0</v>
      </c>
      <c r="H15">
        <v>12570</v>
      </c>
      <c r="I15" t="s">
        <v>16</v>
      </c>
      <c r="J15">
        <f>AVERAGE(G15:H15)</f>
        <v>6285</v>
      </c>
      <c r="K15" s="18">
        <f>J15*F15</f>
        <v>1257</v>
      </c>
      <c r="L15" s="16">
        <f>K15*C15</f>
        <v>4902.3</v>
      </c>
    </row>
    <row r="16" spans="2:12" x14ac:dyDescent="0.25">
      <c r="B16" s="6" t="s">
        <v>0</v>
      </c>
      <c r="C16" s="7">
        <v>23.9</v>
      </c>
      <c r="D16" s="8">
        <f t="shared" ref="D16:D18" si="2">(C16/$C$19)</f>
        <v>0.69679300291545188</v>
      </c>
      <c r="E16" s="9">
        <v>0.2</v>
      </c>
      <c r="F16" s="10">
        <f>E16</f>
        <v>0.2</v>
      </c>
      <c r="G16">
        <v>12571</v>
      </c>
      <c r="H16">
        <v>50270</v>
      </c>
      <c r="I16">
        <f>H16/G16</f>
        <v>3.9988863256701932</v>
      </c>
      <c r="J16">
        <f t="shared" ref="J16:J17" si="3">AVERAGE(G16:H16)</f>
        <v>31420.5</v>
      </c>
      <c r="K16" s="18">
        <f>((J16-G16)*F16)+((H15-G15)*F15)</f>
        <v>6283.9</v>
      </c>
      <c r="L16" s="16">
        <f t="shared" ref="L16:L18" si="4">K16*C16</f>
        <v>150185.21</v>
      </c>
    </row>
    <row r="17" spans="2:12" x14ac:dyDescent="0.25">
      <c r="B17" s="6" t="s">
        <v>1</v>
      </c>
      <c r="C17" s="7">
        <v>5.5</v>
      </c>
      <c r="D17" s="8">
        <f t="shared" si="2"/>
        <v>0.16034985422740525</v>
      </c>
      <c r="E17" s="9">
        <v>0.2</v>
      </c>
      <c r="F17" s="10">
        <f t="shared" ref="F17:F18" si="5">E17</f>
        <v>0.2</v>
      </c>
      <c r="G17">
        <v>50271</v>
      </c>
      <c r="H17">
        <v>125140</v>
      </c>
      <c r="I17">
        <f>H17/G17</f>
        <v>2.4893079509060891</v>
      </c>
      <c r="J17">
        <f t="shared" si="3"/>
        <v>87705.5</v>
      </c>
      <c r="K17" s="18">
        <f>((J17-G17)*F17)+((H16-G16)*F16)+((H15-G15)*F15)</f>
        <v>17540.7</v>
      </c>
      <c r="L17" s="16">
        <f t="shared" si="4"/>
        <v>96473.85</v>
      </c>
    </row>
    <row r="18" spans="2:12" x14ac:dyDescent="0.25">
      <c r="B18" s="6" t="s">
        <v>2</v>
      </c>
      <c r="C18" s="7">
        <v>1</v>
      </c>
      <c r="D18" s="8">
        <f t="shared" si="2"/>
        <v>2.915451895043732E-2</v>
      </c>
      <c r="E18" s="9">
        <v>0.2</v>
      </c>
      <c r="F18" s="10">
        <f t="shared" si="5"/>
        <v>0.2</v>
      </c>
      <c r="G18">
        <v>125140</v>
      </c>
      <c r="H18">
        <f>G18*I18</f>
        <v>264283.7917</v>
      </c>
      <c r="I18">
        <v>2.1119050000000001</v>
      </c>
      <c r="J18">
        <f>AVERAGE(G18:H18)</f>
        <v>194711.89585</v>
      </c>
      <c r="K18" s="18">
        <f>((J18-G18)*F18)+((H17-G17)*F17)+((H16-G16)*F16)+((H15-G15)*F15)</f>
        <v>38941.979170000006</v>
      </c>
      <c r="L18" s="16">
        <f t="shared" si="4"/>
        <v>38941.979170000006</v>
      </c>
    </row>
    <row r="19" spans="2:12" x14ac:dyDescent="0.25">
      <c r="B19" s="11" t="s">
        <v>7</v>
      </c>
      <c r="C19" s="12">
        <f>SUM(C15:C18)</f>
        <v>34.299999999999997</v>
      </c>
      <c r="D19" s="13">
        <f>SUM(D15:D18)</f>
        <v>1</v>
      </c>
      <c r="E19" s="14"/>
      <c r="F19" s="14"/>
      <c r="G19" s="14"/>
      <c r="H19" s="14"/>
      <c r="I19" s="14"/>
      <c r="J19" s="14"/>
      <c r="K19" s="14"/>
      <c r="L19" s="17">
        <f>SUM(L15:L18)</f>
        <v>290503.33916999999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910F7-AF68-4F74-85D4-8D81408803F9}">
  <dimension ref="C7:E16"/>
  <sheetViews>
    <sheetView zoomScale="145" zoomScaleNormal="145" workbookViewId="0">
      <selection activeCell="C20" sqref="C20"/>
    </sheetView>
  </sheetViews>
  <sheetFormatPr defaultRowHeight="15" x14ac:dyDescent="0.25"/>
  <cols>
    <col min="3" max="3" width="37" bestFit="1" customWidth="1"/>
    <col min="5" max="5" width="15.5703125" bestFit="1" customWidth="1"/>
  </cols>
  <sheetData>
    <row r="7" spans="3:5" ht="15.75" x14ac:dyDescent="0.25">
      <c r="C7" s="29" t="s">
        <v>61</v>
      </c>
    </row>
    <row r="8" spans="3:5" x14ac:dyDescent="0.25">
      <c r="C8" t="s">
        <v>20</v>
      </c>
      <c r="D8" t="s">
        <v>21</v>
      </c>
      <c r="E8" s="26">
        <v>100</v>
      </c>
    </row>
    <row r="9" spans="3:5" x14ac:dyDescent="0.25">
      <c r="C9" t="s">
        <v>53</v>
      </c>
      <c r="E9" s="26">
        <f>E8*E12</f>
        <v>50</v>
      </c>
    </row>
    <row r="10" spans="3:5" x14ac:dyDescent="0.25">
      <c r="C10" t="s">
        <v>22</v>
      </c>
      <c r="D10" t="s">
        <v>23</v>
      </c>
      <c r="E10">
        <v>0.4</v>
      </c>
    </row>
    <row r="11" spans="3:5" x14ac:dyDescent="0.25">
      <c r="C11" t="s">
        <v>27</v>
      </c>
      <c r="D11" t="s">
        <v>26</v>
      </c>
      <c r="E11">
        <v>0.45</v>
      </c>
    </row>
    <row r="12" spans="3:5" x14ac:dyDescent="0.25">
      <c r="C12" t="s">
        <v>28</v>
      </c>
      <c r="D12" t="s">
        <v>29</v>
      </c>
      <c r="E12">
        <v>0.5</v>
      </c>
    </row>
    <row r="13" spans="3:5" x14ac:dyDescent="0.25">
      <c r="C13" t="s">
        <v>39</v>
      </c>
      <c r="D13" t="s">
        <v>40</v>
      </c>
      <c r="E13">
        <f>E8*(((1-E12)/(1-E11))^E10)</f>
        <v>96.259350265616774</v>
      </c>
    </row>
    <row r="14" spans="3:5" x14ac:dyDescent="0.25">
      <c r="C14" t="s">
        <v>24</v>
      </c>
      <c r="D14" t="s">
        <v>25</v>
      </c>
      <c r="E14">
        <f>E12*E13</f>
        <v>48.129675132808387</v>
      </c>
    </row>
    <row r="15" spans="3:5" x14ac:dyDescent="0.25">
      <c r="C15" t="s">
        <v>51</v>
      </c>
      <c r="E15" s="26">
        <f>E13-E8</f>
        <v>-3.7406497343832257</v>
      </c>
    </row>
    <row r="16" spans="3:5" x14ac:dyDescent="0.25">
      <c r="C16" t="s">
        <v>50</v>
      </c>
      <c r="E16" s="26">
        <f>E14-E9</f>
        <v>-1.8703248671916128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41D37-536F-44EE-83BD-E445FA4BB566}">
  <dimension ref="A1:L40"/>
  <sheetViews>
    <sheetView workbookViewId="0">
      <selection activeCell="L6" sqref="L6"/>
    </sheetView>
  </sheetViews>
  <sheetFormatPr defaultRowHeight="15" x14ac:dyDescent="0.25"/>
  <cols>
    <col min="1" max="1" width="59.28515625" customWidth="1"/>
    <col min="4" max="4" width="12.7109375" style="20" customWidth="1"/>
    <col min="5" max="6" width="16.7109375" style="20" customWidth="1"/>
    <col min="7" max="7" width="10.7109375" customWidth="1"/>
    <col min="8" max="8" width="26.7109375" style="21" customWidth="1"/>
    <col min="9" max="9" width="24.7109375" style="21" customWidth="1"/>
    <col min="11" max="11" width="20.28515625" bestFit="1" customWidth="1"/>
  </cols>
  <sheetData>
    <row r="1" spans="1:12" ht="18.75" x14ac:dyDescent="0.3">
      <c r="A1" s="19" t="s">
        <v>41</v>
      </c>
    </row>
    <row r="2" spans="1:12" x14ac:dyDescent="0.25">
      <c r="A2" s="22" t="s">
        <v>42</v>
      </c>
    </row>
    <row r="4" spans="1:12" x14ac:dyDescent="0.25">
      <c r="A4" s="23" t="s">
        <v>30</v>
      </c>
      <c r="D4" s="23" t="s">
        <v>31</v>
      </c>
      <c r="E4" s="23" t="s">
        <v>32</v>
      </c>
      <c r="F4" s="23" t="s">
        <v>33</v>
      </c>
      <c r="G4" s="23" t="s">
        <v>34</v>
      </c>
      <c r="H4" s="23" t="s">
        <v>35</v>
      </c>
      <c r="I4" s="23" t="s">
        <v>36</v>
      </c>
      <c r="K4" s="23" t="s">
        <v>43</v>
      </c>
    </row>
    <row r="5" spans="1:12" x14ac:dyDescent="0.25">
      <c r="A5" t="s">
        <v>44</v>
      </c>
      <c r="B5" s="24">
        <v>0.45</v>
      </c>
      <c r="D5" s="20">
        <v>0.2</v>
      </c>
      <c r="E5" s="20">
        <f t="shared" ref="E5:E40" si="0">1-D5</f>
        <v>0.8</v>
      </c>
      <c r="F5" s="20">
        <f t="shared" ref="F5:F40" si="1">1-$B$5</f>
        <v>0.55000000000000004</v>
      </c>
      <c r="G5">
        <f t="shared" ref="G5:G40" si="2">E5/F5</f>
        <v>1.4545454545454546</v>
      </c>
      <c r="H5" s="21">
        <f t="shared" ref="H5:H40" si="3">$B$6*POWER(G5,$B$7)</f>
        <v>116169178708.79941</v>
      </c>
      <c r="I5" s="21">
        <f t="shared" ref="I5:I40" si="4">D5*H5</f>
        <v>23233835741.759884</v>
      </c>
      <c r="K5" t="s">
        <v>45</v>
      </c>
      <c r="L5" s="21">
        <f>MAX(I5:I40)</f>
        <v>54960494701.531258</v>
      </c>
    </row>
    <row r="6" spans="1:12" x14ac:dyDescent="0.25">
      <c r="A6" t="s">
        <v>52</v>
      </c>
      <c r="B6" s="25">
        <v>100000000000</v>
      </c>
      <c r="D6" s="20">
        <v>0.22</v>
      </c>
      <c r="E6" s="20">
        <f t="shared" si="0"/>
        <v>0.78</v>
      </c>
      <c r="F6" s="20">
        <f t="shared" si="1"/>
        <v>0.55000000000000004</v>
      </c>
      <c r="G6">
        <f t="shared" si="2"/>
        <v>1.4181818181818182</v>
      </c>
      <c r="H6" s="21">
        <f t="shared" si="3"/>
        <v>114998656141.73634</v>
      </c>
      <c r="I6" s="21">
        <f t="shared" si="4"/>
        <v>25299704351.181995</v>
      </c>
      <c r="K6" t="s">
        <v>46</v>
      </c>
      <c r="L6" s="20">
        <f>INDEX(D5:D40, MATCH(L5, I5:I40, 0))</f>
        <v>0.72</v>
      </c>
    </row>
    <row r="7" spans="1:12" x14ac:dyDescent="0.25">
      <c r="A7" t="s">
        <v>37</v>
      </c>
      <c r="B7" s="27">
        <v>0.4</v>
      </c>
      <c r="D7" s="20">
        <v>0.24</v>
      </c>
      <c r="E7" s="20">
        <f t="shared" si="0"/>
        <v>0.76</v>
      </c>
      <c r="F7" s="20">
        <f t="shared" si="1"/>
        <v>0.55000000000000004</v>
      </c>
      <c r="G7">
        <f t="shared" si="2"/>
        <v>1.3818181818181816</v>
      </c>
      <c r="H7" s="21">
        <f t="shared" si="3"/>
        <v>113809983692.83058</v>
      </c>
      <c r="I7" s="21">
        <f t="shared" si="4"/>
        <v>27314396086.279339</v>
      </c>
    </row>
    <row r="8" spans="1:12" x14ac:dyDescent="0.25">
      <c r="D8" s="20">
        <v>0.26</v>
      </c>
      <c r="E8" s="20">
        <f t="shared" si="0"/>
        <v>0.74</v>
      </c>
      <c r="F8" s="20">
        <f t="shared" si="1"/>
        <v>0.55000000000000004</v>
      </c>
      <c r="G8">
        <f t="shared" si="2"/>
        <v>1.3454545454545452</v>
      </c>
      <c r="H8" s="21">
        <f t="shared" si="3"/>
        <v>112602390914.23859</v>
      </c>
      <c r="I8" s="21">
        <f t="shared" si="4"/>
        <v>29276621637.702034</v>
      </c>
    </row>
    <row r="9" spans="1:12" x14ac:dyDescent="0.25">
      <c r="D9" s="20">
        <v>0.28000000000000003</v>
      </c>
      <c r="E9" s="20">
        <f t="shared" si="0"/>
        <v>0.72</v>
      </c>
      <c r="F9" s="20">
        <f t="shared" si="1"/>
        <v>0.55000000000000004</v>
      </c>
      <c r="G9">
        <f t="shared" si="2"/>
        <v>1.3090909090909089</v>
      </c>
      <c r="H9" s="21">
        <f t="shared" si="3"/>
        <v>111375052759.52519</v>
      </c>
      <c r="I9" s="21">
        <f t="shared" si="4"/>
        <v>31185014772.667057</v>
      </c>
    </row>
    <row r="10" spans="1:12" x14ac:dyDescent="0.25">
      <c r="D10" s="20">
        <v>0.3</v>
      </c>
      <c r="E10" s="20">
        <f t="shared" si="0"/>
        <v>0.7</v>
      </c>
      <c r="F10" s="20">
        <f t="shared" si="1"/>
        <v>0.55000000000000004</v>
      </c>
      <c r="G10">
        <f t="shared" si="2"/>
        <v>1.2727272727272725</v>
      </c>
      <c r="H10" s="21">
        <f t="shared" si="3"/>
        <v>110127084075.71257</v>
      </c>
      <c r="I10" s="21">
        <f t="shared" si="4"/>
        <v>33038125222.713768</v>
      </c>
    </row>
    <row r="11" spans="1:12" x14ac:dyDescent="0.25">
      <c r="A11" s="23" t="s">
        <v>38</v>
      </c>
      <c r="D11" s="20">
        <v>0.32</v>
      </c>
      <c r="E11" s="20">
        <f t="shared" si="0"/>
        <v>0.67999999999999994</v>
      </c>
      <c r="F11" s="20">
        <f t="shared" si="1"/>
        <v>0.55000000000000004</v>
      </c>
      <c r="G11">
        <f t="shared" si="2"/>
        <v>1.2363636363636361</v>
      </c>
      <c r="H11" s="21">
        <f t="shared" si="3"/>
        <v>108857533364.79616</v>
      </c>
      <c r="I11" s="21">
        <f t="shared" si="4"/>
        <v>34834410676.734772</v>
      </c>
    </row>
    <row r="12" spans="1:12" x14ac:dyDescent="0.25">
      <c r="A12" s="22" t="s">
        <v>47</v>
      </c>
      <c r="D12" s="20">
        <v>0.34</v>
      </c>
      <c r="E12" s="20">
        <f t="shared" si="0"/>
        <v>0.65999999999999992</v>
      </c>
      <c r="F12" s="20">
        <f t="shared" si="1"/>
        <v>0.55000000000000004</v>
      </c>
      <c r="G12">
        <f t="shared" si="2"/>
        <v>1.1999999999999997</v>
      </c>
      <c r="H12" s="21">
        <f t="shared" si="3"/>
        <v>107565375693.25699</v>
      </c>
      <c r="I12" s="21">
        <f t="shared" si="4"/>
        <v>36572227735.707382</v>
      </c>
    </row>
    <row r="13" spans="1:12" x14ac:dyDescent="0.25">
      <c r="A13" s="22" t="s">
        <v>48</v>
      </c>
      <c r="D13" s="20">
        <v>0.36</v>
      </c>
      <c r="E13" s="20">
        <f t="shared" si="0"/>
        <v>0.64</v>
      </c>
      <c r="F13" s="20">
        <f t="shared" si="1"/>
        <v>0.55000000000000004</v>
      </c>
      <c r="G13">
        <f t="shared" si="2"/>
        <v>1.1636363636363636</v>
      </c>
      <c r="H13" s="21">
        <f t="shared" si="3"/>
        <v>106249504603.56474</v>
      </c>
      <c r="I13" s="21">
        <f t="shared" si="4"/>
        <v>38249821657.283302</v>
      </c>
    </row>
    <row r="14" spans="1:12" x14ac:dyDescent="0.25">
      <c r="A14" s="22" t="s">
        <v>49</v>
      </c>
      <c r="D14" s="20">
        <v>0.38</v>
      </c>
      <c r="E14" s="20">
        <f t="shared" si="0"/>
        <v>0.62</v>
      </c>
      <c r="F14" s="20">
        <f t="shared" si="1"/>
        <v>0.55000000000000004</v>
      </c>
      <c r="G14">
        <f t="shared" si="2"/>
        <v>1.1272727272727272</v>
      </c>
      <c r="H14" s="21">
        <f t="shared" si="3"/>
        <v>104908722851.24191</v>
      </c>
      <c r="I14" s="21">
        <f t="shared" si="4"/>
        <v>39865314683.471924</v>
      </c>
    </row>
    <row r="15" spans="1:12" x14ac:dyDescent="0.25">
      <c r="D15" s="20">
        <v>0.4</v>
      </c>
      <c r="E15" s="20">
        <f t="shared" si="0"/>
        <v>0.6</v>
      </c>
      <c r="F15" s="20">
        <f t="shared" si="1"/>
        <v>0.55000000000000004</v>
      </c>
      <c r="G15">
        <f t="shared" si="2"/>
        <v>1.0909090909090908</v>
      </c>
      <c r="H15" s="21">
        <f t="shared" si="3"/>
        <v>103541731753.09886</v>
      </c>
      <c r="I15" s="21">
        <f t="shared" si="4"/>
        <v>41416692701.239548</v>
      </c>
    </row>
    <row r="16" spans="1:12" x14ac:dyDescent="0.25">
      <c r="D16" s="20">
        <v>0.42</v>
      </c>
      <c r="E16" s="20">
        <f t="shared" si="0"/>
        <v>0.58000000000000007</v>
      </c>
      <c r="F16" s="20">
        <f t="shared" si="1"/>
        <v>0.55000000000000004</v>
      </c>
      <c r="G16">
        <f t="shared" si="2"/>
        <v>1.0545454545454547</v>
      </c>
      <c r="H16" s="21">
        <f t="shared" si="3"/>
        <v>102147118884.5629</v>
      </c>
      <c r="I16" s="21">
        <f t="shared" si="4"/>
        <v>42901789931.516418</v>
      </c>
    </row>
    <row r="17" spans="4:9" x14ac:dyDescent="0.25">
      <c r="D17" s="20">
        <v>0.44</v>
      </c>
      <c r="E17" s="20">
        <f t="shared" si="0"/>
        <v>0.56000000000000005</v>
      </c>
      <c r="F17" s="20">
        <f t="shared" si="1"/>
        <v>0.55000000000000004</v>
      </c>
      <c r="G17">
        <f t="shared" si="2"/>
        <v>1.0181818181818183</v>
      </c>
      <c r="H17" s="21">
        <f t="shared" si="3"/>
        <v>100723343803.69756</v>
      </c>
      <c r="I17" s="21">
        <f t="shared" si="4"/>
        <v>44318271273.626923</v>
      </c>
    </row>
    <row r="18" spans="4:9" x14ac:dyDescent="0.25">
      <c r="D18" s="20">
        <v>0.46</v>
      </c>
      <c r="E18" s="20">
        <f t="shared" si="0"/>
        <v>0.54</v>
      </c>
      <c r="F18" s="20">
        <f t="shared" si="1"/>
        <v>0.55000000000000004</v>
      </c>
      <c r="G18">
        <f t="shared" si="2"/>
        <v>0.98181818181818181</v>
      </c>
      <c r="H18" s="21">
        <f t="shared" si="3"/>
        <v>99268721402.611465</v>
      </c>
      <c r="I18" s="21">
        <f t="shared" si="4"/>
        <v>45663611845.201279</v>
      </c>
    </row>
    <row r="19" spans="4:9" x14ac:dyDescent="0.25">
      <c r="D19" s="20">
        <v>0.48</v>
      </c>
      <c r="E19" s="20">
        <f t="shared" si="0"/>
        <v>0.52</v>
      </c>
      <c r="F19" s="20">
        <f t="shared" si="1"/>
        <v>0.55000000000000004</v>
      </c>
      <c r="G19">
        <f t="shared" si="2"/>
        <v>0.94545454545454544</v>
      </c>
      <c r="H19" s="21">
        <f t="shared" si="3"/>
        <v>97781402388.140732</v>
      </c>
      <c r="I19" s="21">
        <f t="shared" si="4"/>
        <v>46935073146.307549</v>
      </c>
    </row>
    <row r="20" spans="4:9" x14ac:dyDescent="0.25">
      <c r="D20" s="20">
        <v>0.5</v>
      </c>
      <c r="E20" s="20">
        <f t="shared" si="0"/>
        <v>0.5</v>
      </c>
      <c r="F20" s="20">
        <f t="shared" si="1"/>
        <v>0.55000000000000004</v>
      </c>
      <c r="G20">
        <f t="shared" si="2"/>
        <v>0.90909090909090906</v>
      </c>
      <c r="H20" s="21">
        <f t="shared" si="3"/>
        <v>96259350265.616776</v>
      </c>
      <c r="I20" s="21">
        <f t="shared" si="4"/>
        <v>48129675132.808388</v>
      </c>
    </row>
    <row r="21" spans="4:9" x14ac:dyDescent="0.25">
      <c r="D21" s="20">
        <v>0.52</v>
      </c>
      <c r="E21" s="20">
        <f t="shared" si="0"/>
        <v>0.48</v>
      </c>
      <c r="F21" s="20">
        <f t="shared" si="1"/>
        <v>0.55000000000000004</v>
      </c>
      <c r="G21">
        <f t="shared" si="2"/>
        <v>0.87272727272727257</v>
      </c>
      <c r="H21" s="21">
        <f t="shared" si="3"/>
        <v>94700314031.992355</v>
      </c>
      <c r="I21" s="21">
        <f t="shared" si="4"/>
        <v>49244163296.636024</v>
      </c>
    </row>
    <row r="22" spans="4:9" x14ac:dyDescent="0.25">
      <c r="D22" s="20">
        <v>0.54</v>
      </c>
      <c r="E22" s="20">
        <f t="shared" si="0"/>
        <v>0.45999999999999996</v>
      </c>
      <c r="F22" s="20">
        <f t="shared" si="1"/>
        <v>0.55000000000000004</v>
      </c>
      <c r="G22">
        <f t="shared" si="2"/>
        <v>0.8363636363636362</v>
      </c>
      <c r="H22" s="21">
        <f t="shared" si="3"/>
        <v>93101795563.253433</v>
      </c>
      <c r="I22" s="21">
        <f t="shared" si="4"/>
        <v>50274969604.15686</v>
      </c>
    </row>
    <row r="23" spans="4:9" x14ac:dyDescent="0.25">
      <c r="D23" s="20">
        <v>0.56000000000000005</v>
      </c>
      <c r="E23" s="20">
        <f t="shared" si="0"/>
        <v>0.43999999999999995</v>
      </c>
      <c r="F23" s="20">
        <f t="shared" si="1"/>
        <v>0.55000000000000004</v>
      </c>
      <c r="G23">
        <f t="shared" si="2"/>
        <v>0.79999999999999982</v>
      </c>
      <c r="H23" s="21">
        <f t="shared" si="3"/>
        <v>91461010385.465256</v>
      </c>
      <c r="I23" s="21">
        <f t="shared" si="4"/>
        <v>51218165815.86055</v>
      </c>
    </row>
    <row r="24" spans="4:9" x14ac:dyDescent="0.25">
      <c r="D24" s="20">
        <v>0.57999999999999996</v>
      </c>
      <c r="E24" s="20">
        <f t="shared" si="0"/>
        <v>0.42000000000000004</v>
      </c>
      <c r="F24" s="20">
        <f t="shared" si="1"/>
        <v>0.55000000000000004</v>
      </c>
      <c r="G24">
        <f t="shared" si="2"/>
        <v>0.76363636363636367</v>
      </c>
      <c r="H24" s="21">
        <f t="shared" si="3"/>
        <v>89774840119.513031</v>
      </c>
      <c r="I24" s="21">
        <f t="shared" si="4"/>
        <v>52069407269.317551</v>
      </c>
    </row>
    <row r="25" spans="4:9" x14ac:dyDescent="0.25">
      <c r="D25" s="20">
        <v>0.6</v>
      </c>
      <c r="E25" s="20">
        <f t="shared" si="0"/>
        <v>0.4</v>
      </c>
      <c r="F25" s="20">
        <f t="shared" si="1"/>
        <v>0.55000000000000004</v>
      </c>
      <c r="G25">
        <f t="shared" si="2"/>
        <v>0.72727272727272729</v>
      </c>
      <c r="H25" s="21">
        <f t="shared" si="3"/>
        <v>88039774343.41716</v>
      </c>
      <c r="I25" s="21">
        <f t="shared" si="4"/>
        <v>52823864606.050293</v>
      </c>
    </row>
    <row r="26" spans="4:9" x14ac:dyDescent="0.25">
      <c r="D26" s="20">
        <v>0.62</v>
      </c>
      <c r="E26" s="20">
        <f t="shared" si="0"/>
        <v>0.38</v>
      </c>
      <c r="F26" s="20">
        <f t="shared" si="1"/>
        <v>0.55000000000000004</v>
      </c>
      <c r="G26">
        <f t="shared" si="2"/>
        <v>0.69090909090909081</v>
      </c>
      <c r="H26" s="21">
        <f t="shared" si="3"/>
        <v>86251838858.750778</v>
      </c>
      <c r="I26" s="21">
        <f t="shared" si="4"/>
        <v>53476140092.425484</v>
      </c>
    </row>
    <row r="27" spans="4:9" x14ac:dyDescent="0.25">
      <c r="D27" s="20">
        <v>0.64</v>
      </c>
      <c r="E27" s="20">
        <f t="shared" si="0"/>
        <v>0.36</v>
      </c>
      <c r="F27" s="20">
        <f t="shared" si="1"/>
        <v>0.55000000000000004</v>
      </c>
      <c r="G27">
        <f t="shared" si="2"/>
        <v>0.65454545454545443</v>
      </c>
      <c r="H27" s="21">
        <f t="shared" si="3"/>
        <v>84406506281.79097</v>
      </c>
      <c r="I27" s="21">
        <f t="shared" si="4"/>
        <v>54020164020.346222</v>
      </c>
    </row>
    <row r="28" spans="4:9" x14ac:dyDescent="0.25">
      <c r="D28" s="20">
        <v>0.66</v>
      </c>
      <c r="E28" s="20">
        <f t="shared" si="0"/>
        <v>0.33999999999999997</v>
      </c>
      <c r="F28" s="20">
        <f t="shared" si="1"/>
        <v>0.55000000000000004</v>
      </c>
      <c r="G28">
        <f t="shared" si="2"/>
        <v>0.61818181818181805</v>
      </c>
      <c r="H28" s="21">
        <f t="shared" si="3"/>
        <v>82498583355.23996</v>
      </c>
      <c r="I28" s="21">
        <f t="shared" si="4"/>
        <v>54449065014.458374</v>
      </c>
    </row>
    <row r="29" spans="4:9" x14ac:dyDescent="0.25">
      <c r="D29" s="20">
        <v>0.68</v>
      </c>
      <c r="E29" s="20">
        <f t="shared" si="0"/>
        <v>0.31999999999999995</v>
      </c>
      <c r="F29" s="20">
        <f t="shared" si="1"/>
        <v>0.55000000000000004</v>
      </c>
      <c r="G29">
        <f t="shared" si="2"/>
        <v>0.58181818181818168</v>
      </c>
      <c r="H29" s="21">
        <f t="shared" si="3"/>
        <v>80522067155.572937</v>
      </c>
      <c r="I29" s="21">
        <f t="shared" si="4"/>
        <v>54755005665.789604</v>
      </c>
    </row>
    <row r="30" spans="4:9" x14ac:dyDescent="0.25">
      <c r="D30" s="20">
        <v>0.7</v>
      </c>
      <c r="E30" s="20">
        <f t="shared" si="0"/>
        <v>0.30000000000000004</v>
      </c>
      <c r="F30" s="20">
        <f t="shared" si="1"/>
        <v>0.55000000000000004</v>
      </c>
      <c r="G30">
        <f t="shared" si="2"/>
        <v>0.54545454545454553</v>
      </c>
      <c r="H30" s="21">
        <f t="shared" si="3"/>
        <v>78469959071.673843</v>
      </c>
      <c r="I30" s="21">
        <f t="shared" si="4"/>
        <v>54928971350.171684</v>
      </c>
    </row>
    <row r="31" spans="4:9" x14ac:dyDescent="0.25">
      <c r="D31" s="20">
        <v>0.72</v>
      </c>
      <c r="E31" s="20">
        <f t="shared" si="0"/>
        <v>0.28000000000000003</v>
      </c>
      <c r="F31" s="20">
        <f t="shared" si="1"/>
        <v>0.55000000000000004</v>
      </c>
      <c r="G31">
        <f t="shared" si="2"/>
        <v>0.50909090909090915</v>
      </c>
      <c r="H31" s="21">
        <f t="shared" si="3"/>
        <v>76334020418.793411</v>
      </c>
      <c r="I31" s="21">
        <f t="shared" si="4"/>
        <v>54960494701.531258</v>
      </c>
    </row>
    <row r="32" spans="4:9" x14ac:dyDescent="0.25">
      <c r="D32" s="20">
        <v>0.74</v>
      </c>
      <c r="E32" s="20">
        <f t="shared" si="0"/>
        <v>0.26</v>
      </c>
      <c r="F32" s="20">
        <f t="shared" si="1"/>
        <v>0.55000000000000004</v>
      </c>
      <c r="G32">
        <f t="shared" si="2"/>
        <v>0.47272727272727272</v>
      </c>
      <c r="H32" s="21">
        <f t="shared" si="3"/>
        <v>74104445748.162155</v>
      </c>
      <c r="I32" s="21">
        <f t="shared" si="4"/>
        <v>54837289853.639992</v>
      </c>
    </row>
    <row r="33" spans="4:9" x14ac:dyDescent="0.25">
      <c r="D33" s="20">
        <v>0.76</v>
      </c>
      <c r="E33" s="20">
        <f t="shared" si="0"/>
        <v>0.24</v>
      </c>
      <c r="F33" s="20">
        <f t="shared" si="1"/>
        <v>0.55000000000000004</v>
      </c>
      <c r="G33">
        <f t="shared" si="2"/>
        <v>0.43636363636363629</v>
      </c>
      <c r="H33" s="21">
        <f t="shared" si="3"/>
        <v>71769417416.013962</v>
      </c>
      <c r="I33" s="21">
        <f t="shared" si="4"/>
        <v>54544757236.170609</v>
      </c>
    </row>
    <row r="34" spans="4:9" x14ac:dyDescent="0.25">
      <c r="D34" s="20">
        <v>0.78</v>
      </c>
      <c r="E34" s="20">
        <f t="shared" si="0"/>
        <v>0.21999999999999997</v>
      </c>
      <c r="F34" s="20">
        <f t="shared" si="1"/>
        <v>0.55000000000000004</v>
      </c>
      <c r="G34">
        <f t="shared" si="2"/>
        <v>0.39999999999999991</v>
      </c>
      <c r="H34" s="21">
        <f t="shared" si="3"/>
        <v>69314484315.514633</v>
      </c>
      <c r="I34" s="21">
        <f t="shared" si="4"/>
        <v>54065297766.101418</v>
      </c>
    </row>
    <row r="35" spans="4:9" x14ac:dyDescent="0.25">
      <c r="D35" s="20">
        <v>0.8</v>
      </c>
      <c r="E35" s="20">
        <f t="shared" si="0"/>
        <v>0.19999999999999996</v>
      </c>
      <c r="F35" s="20">
        <f t="shared" si="1"/>
        <v>0.55000000000000004</v>
      </c>
      <c r="G35">
        <f t="shared" si="2"/>
        <v>0.36363636363636354</v>
      </c>
      <c r="H35" s="21">
        <f t="shared" si="3"/>
        <v>66721672242.077232</v>
      </c>
      <c r="I35" s="21">
        <f t="shared" si="4"/>
        <v>53377337793.661789</v>
      </c>
    </row>
    <row r="36" spans="4:9" x14ac:dyDescent="0.25">
      <c r="D36" s="20">
        <v>0.82</v>
      </c>
      <c r="E36" s="20">
        <f t="shared" si="0"/>
        <v>0.18000000000000005</v>
      </c>
      <c r="F36" s="20">
        <f t="shared" si="1"/>
        <v>0.55000000000000004</v>
      </c>
      <c r="G36">
        <f t="shared" si="2"/>
        <v>0.32727272727272733</v>
      </c>
      <c r="H36" s="21">
        <f t="shared" si="3"/>
        <v>63968169946.287292</v>
      </c>
      <c r="I36" s="21">
        <f t="shared" si="4"/>
        <v>52453899355.955574</v>
      </c>
    </row>
    <row r="37" spans="4:9" x14ac:dyDescent="0.25">
      <c r="D37" s="20">
        <v>0.84</v>
      </c>
      <c r="E37" s="20">
        <f t="shared" si="0"/>
        <v>0.16000000000000003</v>
      </c>
      <c r="F37" s="20">
        <f t="shared" si="1"/>
        <v>0.55000000000000004</v>
      </c>
      <c r="G37">
        <f t="shared" si="2"/>
        <v>0.29090909090909095</v>
      </c>
      <c r="H37" s="21">
        <f t="shared" si="3"/>
        <v>61024315578.682365</v>
      </c>
      <c r="I37" s="21">
        <f t="shared" si="4"/>
        <v>51260425086.093185</v>
      </c>
    </row>
    <row r="38" spans="4:9" x14ac:dyDescent="0.25">
      <c r="D38" s="20">
        <v>0.86</v>
      </c>
      <c r="E38" s="20">
        <f t="shared" si="0"/>
        <v>0.14000000000000001</v>
      </c>
      <c r="F38" s="20">
        <f t="shared" si="1"/>
        <v>0.55000000000000004</v>
      </c>
      <c r="G38">
        <f t="shared" si="2"/>
        <v>0.25454545454545457</v>
      </c>
      <c r="H38" s="21">
        <f t="shared" si="3"/>
        <v>57850369668.554092</v>
      </c>
      <c r="I38" s="21">
        <f t="shared" si="4"/>
        <v>49751317914.95652</v>
      </c>
    </row>
    <row r="39" spans="4:9" x14ac:dyDescent="0.25">
      <c r="D39" s="20">
        <v>0.88</v>
      </c>
      <c r="E39" s="20">
        <f t="shared" si="0"/>
        <v>0.12</v>
      </c>
      <c r="F39" s="20">
        <f t="shared" si="1"/>
        <v>0.55000000000000004</v>
      </c>
      <c r="G39">
        <f t="shared" si="2"/>
        <v>0.21818181818181814</v>
      </c>
      <c r="H39" s="21">
        <f t="shared" si="3"/>
        <v>54391047473.126122</v>
      </c>
      <c r="I39" s="21">
        <f t="shared" si="4"/>
        <v>47864121776.35099</v>
      </c>
    </row>
    <row r="40" spans="4:9" x14ac:dyDescent="0.25">
      <c r="D40" s="20">
        <v>0.9</v>
      </c>
      <c r="E40" s="20">
        <f t="shared" si="0"/>
        <v>9.9999999999999978E-2</v>
      </c>
      <c r="F40" s="20">
        <f t="shared" si="1"/>
        <v>0.55000000000000004</v>
      </c>
      <c r="G40">
        <f t="shared" si="2"/>
        <v>0.18181818181818177</v>
      </c>
      <c r="H40" s="21">
        <f t="shared" si="3"/>
        <v>50565571981.296722</v>
      </c>
      <c r="I40" s="21">
        <f t="shared" si="4"/>
        <v>45509014783.167053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CB2C6-DC48-4AE6-B771-6D098AD6B964}">
  <dimension ref="A1:Q40"/>
  <sheetViews>
    <sheetView zoomScaleNormal="100" workbookViewId="0">
      <selection activeCell="N6" sqref="N6"/>
    </sheetView>
  </sheetViews>
  <sheetFormatPr defaultRowHeight="15" x14ac:dyDescent="0.25"/>
  <cols>
    <col min="1" max="1" width="59.28515625" customWidth="1"/>
    <col min="4" max="4" width="12.7109375" style="20" customWidth="1"/>
    <col min="5" max="6" width="16.7109375" style="20" customWidth="1"/>
    <col min="7" max="7" width="10.7109375" customWidth="1"/>
    <col min="8" max="8" width="26.7109375" style="21" customWidth="1"/>
    <col min="9" max="10" width="24.7109375" style="21" customWidth="1"/>
    <col min="11" max="11" width="32.28515625" style="21" bestFit="1" customWidth="1"/>
    <col min="13" max="13" width="26.140625" bestFit="1" customWidth="1"/>
    <col min="16" max="16" width="20.28515625" bestFit="1" customWidth="1"/>
  </cols>
  <sheetData>
    <row r="1" spans="1:17" ht="18.75" x14ac:dyDescent="0.3">
      <c r="A1" s="19" t="s">
        <v>41</v>
      </c>
    </row>
    <row r="2" spans="1:17" x14ac:dyDescent="0.25">
      <c r="A2" s="22" t="s">
        <v>42</v>
      </c>
    </row>
    <row r="4" spans="1:17" x14ac:dyDescent="0.25">
      <c r="A4" s="23" t="s">
        <v>30</v>
      </c>
      <c r="D4" s="23" t="s">
        <v>31</v>
      </c>
      <c r="E4" s="23" t="s">
        <v>32</v>
      </c>
      <c r="F4" s="23" t="s">
        <v>33</v>
      </c>
      <c r="G4" s="23" t="s">
        <v>34</v>
      </c>
      <c r="H4" s="23" t="s">
        <v>35</v>
      </c>
      <c r="I4" s="23" t="s">
        <v>36</v>
      </c>
      <c r="J4" s="23" t="s">
        <v>57</v>
      </c>
      <c r="K4" s="23" t="s">
        <v>58</v>
      </c>
      <c r="M4" s="23" t="s">
        <v>43</v>
      </c>
      <c r="P4" s="23" t="s">
        <v>43</v>
      </c>
    </row>
    <row r="5" spans="1:17" x14ac:dyDescent="0.25">
      <c r="A5" t="s">
        <v>44</v>
      </c>
      <c r="B5" s="24">
        <v>0.45</v>
      </c>
      <c r="D5" s="20">
        <v>0.2</v>
      </c>
      <c r="E5" s="20">
        <f t="shared" ref="E5:E40" si="0">1-D5</f>
        <v>0.8</v>
      </c>
      <c r="F5" s="20">
        <f t="shared" ref="F5:F40" si="1">1-$B$5</f>
        <v>0.55000000000000004</v>
      </c>
      <c r="G5">
        <f t="shared" ref="G5:G40" si="2">E5/F5</f>
        <v>1.4545454545454546</v>
      </c>
      <c r="H5" s="21">
        <f t="shared" ref="H5:H40" si="3">$B$6*POWER(G5,$B$7)</f>
        <v>116169178708.79941</v>
      </c>
      <c r="I5" s="21">
        <f t="shared" ref="I5:I40" si="4">D5*H5</f>
        <v>23233835741.759884</v>
      </c>
      <c r="J5" s="20">
        <f>MAX(0, MIN(1, $B$8 - $B$9*(D5 - $B$5)))</f>
        <v>1</v>
      </c>
      <c r="K5" s="28">
        <f>(D5 * J5 * H5)</f>
        <v>23233835741.759884</v>
      </c>
      <c r="M5" t="s">
        <v>59</v>
      </c>
      <c r="N5" s="28">
        <f>MAX(K5:K1000)</f>
        <v>51141175291.847488</v>
      </c>
      <c r="P5" t="s">
        <v>45</v>
      </c>
      <c r="Q5" s="21">
        <f>MAX(I5:I40)</f>
        <v>54960494701.531258</v>
      </c>
    </row>
    <row r="6" spans="1:17" x14ac:dyDescent="0.25">
      <c r="A6" t="s">
        <v>52</v>
      </c>
      <c r="B6" s="25">
        <v>100000000000</v>
      </c>
      <c r="D6" s="20">
        <v>0.22</v>
      </c>
      <c r="E6" s="20">
        <f t="shared" si="0"/>
        <v>0.78</v>
      </c>
      <c r="F6" s="20">
        <f t="shared" si="1"/>
        <v>0.55000000000000004</v>
      </c>
      <c r="G6">
        <f t="shared" si="2"/>
        <v>1.4181818181818182</v>
      </c>
      <c r="H6" s="21">
        <f t="shared" si="3"/>
        <v>114998656141.73634</v>
      </c>
      <c r="I6" s="21">
        <f t="shared" si="4"/>
        <v>25299704351.181995</v>
      </c>
      <c r="J6" s="20">
        <f t="shared" ref="J6:J40" si="5">MAX(0, MIN(1, $B$8 - $B$9*(D6 - $B$5)))</f>
        <v>1</v>
      </c>
      <c r="K6" s="28">
        <f t="shared" ref="K6:K40" si="6">(D6 * J6 * H6)</f>
        <v>25299704351.181995</v>
      </c>
      <c r="M6" t="s">
        <v>60</v>
      </c>
      <c r="N6" s="20">
        <f>INDEX(D5:D1000, MATCH(N5, K5:K1000, 0))</f>
        <v>0.68</v>
      </c>
      <c r="P6" t="s">
        <v>46</v>
      </c>
      <c r="Q6" s="20">
        <f>INDEX(D5:D40, MATCH(Q5, I5:I40, 0))</f>
        <v>0.72</v>
      </c>
    </row>
    <row r="7" spans="1:17" x14ac:dyDescent="0.25">
      <c r="A7" t="s">
        <v>37</v>
      </c>
      <c r="B7" s="27">
        <v>0.4</v>
      </c>
      <c r="D7" s="20">
        <v>0.24</v>
      </c>
      <c r="E7" s="20">
        <f t="shared" si="0"/>
        <v>0.76</v>
      </c>
      <c r="F7" s="20">
        <f t="shared" si="1"/>
        <v>0.55000000000000004</v>
      </c>
      <c r="G7">
        <f t="shared" si="2"/>
        <v>1.3818181818181816</v>
      </c>
      <c r="H7" s="21">
        <f t="shared" si="3"/>
        <v>113809983692.83058</v>
      </c>
      <c r="I7" s="21">
        <f t="shared" si="4"/>
        <v>27314396086.279339</v>
      </c>
      <c r="J7" s="20">
        <f t="shared" si="5"/>
        <v>1</v>
      </c>
      <c r="K7" s="28">
        <f t="shared" si="6"/>
        <v>27314396086.279339</v>
      </c>
    </row>
    <row r="8" spans="1:17" x14ac:dyDescent="0.25">
      <c r="A8" t="s">
        <v>55</v>
      </c>
      <c r="B8" s="27">
        <v>0.98</v>
      </c>
      <c r="D8" s="20">
        <v>0.26</v>
      </c>
      <c r="E8" s="20">
        <f t="shared" si="0"/>
        <v>0.74</v>
      </c>
      <c r="F8" s="20">
        <f t="shared" si="1"/>
        <v>0.55000000000000004</v>
      </c>
      <c r="G8">
        <f t="shared" si="2"/>
        <v>1.3454545454545452</v>
      </c>
      <c r="H8" s="21">
        <f t="shared" si="3"/>
        <v>112602390914.23859</v>
      </c>
      <c r="I8" s="21">
        <f t="shared" si="4"/>
        <v>29276621637.702034</v>
      </c>
      <c r="J8" s="20">
        <f t="shared" si="5"/>
        <v>1</v>
      </c>
      <c r="K8" s="28">
        <f t="shared" si="6"/>
        <v>29276621637.702034</v>
      </c>
    </row>
    <row r="9" spans="1:17" x14ac:dyDescent="0.25">
      <c r="A9" t="s">
        <v>56</v>
      </c>
      <c r="B9" s="27">
        <v>0.2</v>
      </c>
      <c r="D9" s="20">
        <v>0.28000000000000003</v>
      </c>
      <c r="E9" s="20">
        <f t="shared" si="0"/>
        <v>0.72</v>
      </c>
      <c r="F9" s="20">
        <f t="shared" si="1"/>
        <v>0.55000000000000004</v>
      </c>
      <c r="G9">
        <f t="shared" si="2"/>
        <v>1.3090909090909089</v>
      </c>
      <c r="H9" s="21">
        <f t="shared" si="3"/>
        <v>111375052759.52519</v>
      </c>
      <c r="I9" s="21">
        <f t="shared" si="4"/>
        <v>31185014772.667057</v>
      </c>
      <c r="J9" s="20">
        <f t="shared" si="5"/>
        <v>1</v>
      </c>
      <c r="K9" s="28">
        <f t="shared" si="6"/>
        <v>31185014772.667057</v>
      </c>
    </row>
    <row r="10" spans="1:17" x14ac:dyDescent="0.25">
      <c r="D10" s="20">
        <v>0.3</v>
      </c>
      <c r="E10" s="20">
        <f t="shared" si="0"/>
        <v>0.7</v>
      </c>
      <c r="F10" s="20">
        <f t="shared" si="1"/>
        <v>0.55000000000000004</v>
      </c>
      <c r="G10">
        <f t="shared" si="2"/>
        <v>1.2727272727272725</v>
      </c>
      <c r="H10" s="21">
        <f t="shared" si="3"/>
        <v>110127084075.71257</v>
      </c>
      <c r="I10" s="21">
        <f t="shared" si="4"/>
        <v>33038125222.713768</v>
      </c>
      <c r="J10" s="20">
        <f t="shared" si="5"/>
        <v>1</v>
      </c>
      <c r="K10" s="28">
        <f t="shared" si="6"/>
        <v>33038125222.713768</v>
      </c>
    </row>
    <row r="11" spans="1:17" x14ac:dyDescent="0.25">
      <c r="D11" s="20">
        <v>0.32</v>
      </c>
      <c r="E11" s="20">
        <f t="shared" si="0"/>
        <v>0.67999999999999994</v>
      </c>
      <c r="F11" s="20">
        <f t="shared" si="1"/>
        <v>0.55000000000000004</v>
      </c>
      <c r="G11">
        <f t="shared" si="2"/>
        <v>1.2363636363636361</v>
      </c>
      <c r="H11" s="21">
        <f t="shared" si="3"/>
        <v>108857533364.79616</v>
      </c>
      <c r="I11" s="21">
        <f t="shared" si="4"/>
        <v>34834410676.734772</v>
      </c>
      <c r="J11" s="20">
        <f t="shared" si="5"/>
        <v>1</v>
      </c>
      <c r="K11" s="28">
        <f t="shared" si="6"/>
        <v>34834410676.734772</v>
      </c>
    </row>
    <row r="12" spans="1:17" x14ac:dyDescent="0.25">
      <c r="D12" s="20">
        <v>0.34</v>
      </c>
      <c r="E12" s="20">
        <f t="shared" si="0"/>
        <v>0.65999999999999992</v>
      </c>
      <c r="F12" s="20">
        <f t="shared" si="1"/>
        <v>0.55000000000000004</v>
      </c>
      <c r="G12">
        <f t="shared" si="2"/>
        <v>1.1999999999999997</v>
      </c>
      <c r="H12" s="21">
        <f t="shared" si="3"/>
        <v>107565375693.25699</v>
      </c>
      <c r="I12" s="21">
        <f t="shared" si="4"/>
        <v>36572227735.707382</v>
      </c>
      <c r="J12" s="20">
        <f t="shared" si="5"/>
        <v>1</v>
      </c>
      <c r="K12" s="28">
        <f t="shared" si="6"/>
        <v>36572227735.707382</v>
      </c>
    </row>
    <row r="13" spans="1:17" x14ac:dyDescent="0.25">
      <c r="D13" s="20">
        <v>0.36</v>
      </c>
      <c r="E13" s="20">
        <f t="shared" si="0"/>
        <v>0.64</v>
      </c>
      <c r="F13" s="20">
        <f t="shared" si="1"/>
        <v>0.55000000000000004</v>
      </c>
      <c r="G13">
        <f t="shared" si="2"/>
        <v>1.1636363636363636</v>
      </c>
      <c r="H13" s="21">
        <f t="shared" si="3"/>
        <v>106249504603.56474</v>
      </c>
      <c r="I13" s="21">
        <f t="shared" si="4"/>
        <v>38249821657.283302</v>
      </c>
      <c r="J13" s="20">
        <f t="shared" si="5"/>
        <v>0.998</v>
      </c>
      <c r="K13" s="28">
        <f t="shared" si="6"/>
        <v>38173322013.968742</v>
      </c>
    </row>
    <row r="14" spans="1:17" x14ac:dyDescent="0.25">
      <c r="D14" s="20">
        <v>0.38</v>
      </c>
      <c r="E14" s="20">
        <f t="shared" si="0"/>
        <v>0.62</v>
      </c>
      <c r="F14" s="20">
        <f t="shared" si="1"/>
        <v>0.55000000000000004</v>
      </c>
      <c r="G14">
        <f t="shared" si="2"/>
        <v>1.1272727272727272</v>
      </c>
      <c r="H14" s="21">
        <f t="shared" si="3"/>
        <v>104908722851.24191</v>
      </c>
      <c r="I14" s="21">
        <f t="shared" si="4"/>
        <v>39865314683.471924</v>
      </c>
      <c r="J14" s="20">
        <f t="shared" si="5"/>
        <v>0.99399999999999999</v>
      </c>
      <c r="K14" s="28">
        <f t="shared" si="6"/>
        <v>39626122795.371094</v>
      </c>
    </row>
    <row r="15" spans="1:17" x14ac:dyDescent="0.25">
      <c r="D15" s="20">
        <v>0.4</v>
      </c>
      <c r="E15" s="20">
        <f t="shared" si="0"/>
        <v>0.6</v>
      </c>
      <c r="F15" s="20">
        <f t="shared" si="1"/>
        <v>0.55000000000000004</v>
      </c>
      <c r="G15">
        <f t="shared" si="2"/>
        <v>1.0909090909090908</v>
      </c>
      <c r="H15" s="21">
        <f t="shared" si="3"/>
        <v>103541731753.09886</v>
      </c>
      <c r="I15" s="21">
        <f t="shared" si="4"/>
        <v>41416692701.239548</v>
      </c>
      <c r="J15" s="20">
        <f t="shared" si="5"/>
        <v>0.99</v>
      </c>
      <c r="K15" s="28">
        <f t="shared" si="6"/>
        <v>41002525774.22715</v>
      </c>
    </row>
    <row r="16" spans="1:17" x14ac:dyDescent="0.25">
      <c r="A16" s="23" t="s">
        <v>38</v>
      </c>
      <c r="D16" s="20">
        <v>0.42</v>
      </c>
      <c r="E16" s="20">
        <f t="shared" si="0"/>
        <v>0.58000000000000007</v>
      </c>
      <c r="F16" s="20">
        <f t="shared" si="1"/>
        <v>0.55000000000000004</v>
      </c>
      <c r="G16">
        <f t="shared" si="2"/>
        <v>1.0545454545454547</v>
      </c>
      <c r="H16" s="21">
        <f t="shared" si="3"/>
        <v>102147118884.5629</v>
      </c>
      <c r="I16" s="21">
        <f t="shared" si="4"/>
        <v>42901789931.516418</v>
      </c>
      <c r="J16" s="20">
        <f t="shared" si="5"/>
        <v>0.98599999999999999</v>
      </c>
      <c r="K16" s="28">
        <f t="shared" si="6"/>
        <v>42301164872.475189</v>
      </c>
    </row>
    <row r="17" spans="1:11" x14ac:dyDescent="0.25">
      <c r="A17" s="22" t="s">
        <v>47</v>
      </c>
      <c r="D17" s="20">
        <v>0.44</v>
      </c>
      <c r="E17" s="20">
        <f t="shared" si="0"/>
        <v>0.56000000000000005</v>
      </c>
      <c r="F17" s="20">
        <f t="shared" si="1"/>
        <v>0.55000000000000004</v>
      </c>
      <c r="G17">
        <f t="shared" si="2"/>
        <v>1.0181818181818183</v>
      </c>
      <c r="H17" s="21">
        <f t="shared" si="3"/>
        <v>100723343803.69756</v>
      </c>
      <c r="I17" s="21">
        <f t="shared" si="4"/>
        <v>44318271273.626923</v>
      </c>
      <c r="J17" s="20">
        <f t="shared" si="5"/>
        <v>0.98199999999999998</v>
      </c>
      <c r="K17" s="28">
        <f t="shared" si="6"/>
        <v>43520542390.701645</v>
      </c>
    </row>
    <row r="18" spans="1:11" x14ac:dyDescent="0.25">
      <c r="A18" s="22" t="s">
        <v>48</v>
      </c>
      <c r="D18" s="20">
        <v>0.46</v>
      </c>
      <c r="E18" s="20">
        <f t="shared" si="0"/>
        <v>0.54</v>
      </c>
      <c r="F18" s="20">
        <f t="shared" si="1"/>
        <v>0.55000000000000004</v>
      </c>
      <c r="G18">
        <f t="shared" si="2"/>
        <v>0.98181818181818181</v>
      </c>
      <c r="H18" s="21">
        <f t="shared" si="3"/>
        <v>99268721402.611465</v>
      </c>
      <c r="I18" s="21">
        <f t="shared" si="4"/>
        <v>45663611845.201279</v>
      </c>
      <c r="J18" s="20">
        <f t="shared" si="5"/>
        <v>0.97799999999999998</v>
      </c>
      <c r="K18" s="28">
        <f t="shared" si="6"/>
        <v>44659012384.60685</v>
      </c>
    </row>
    <row r="19" spans="1:11" x14ac:dyDescent="0.25">
      <c r="A19" s="22" t="s">
        <v>49</v>
      </c>
      <c r="D19" s="20">
        <v>0.48</v>
      </c>
      <c r="E19" s="20">
        <f t="shared" si="0"/>
        <v>0.52</v>
      </c>
      <c r="F19" s="20">
        <f t="shared" si="1"/>
        <v>0.55000000000000004</v>
      </c>
      <c r="G19">
        <f t="shared" si="2"/>
        <v>0.94545454545454544</v>
      </c>
      <c r="H19" s="21">
        <f t="shared" si="3"/>
        <v>97781402388.140732</v>
      </c>
      <c r="I19" s="21">
        <f t="shared" si="4"/>
        <v>46935073146.307549</v>
      </c>
      <c r="J19" s="20">
        <f t="shared" si="5"/>
        <v>0.97399999999999998</v>
      </c>
      <c r="K19" s="28">
        <f t="shared" si="6"/>
        <v>45714761244.503555</v>
      </c>
    </row>
    <row r="20" spans="1:11" x14ac:dyDescent="0.25">
      <c r="D20" s="20">
        <v>0.5</v>
      </c>
      <c r="E20" s="20">
        <f t="shared" si="0"/>
        <v>0.5</v>
      </c>
      <c r="F20" s="20">
        <f t="shared" si="1"/>
        <v>0.55000000000000004</v>
      </c>
      <c r="G20">
        <f t="shared" si="2"/>
        <v>0.90909090909090906</v>
      </c>
      <c r="H20" s="21">
        <f t="shared" si="3"/>
        <v>96259350265.616776</v>
      </c>
      <c r="I20" s="21">
        <f t="shared" si="4"/>
        <v>48129675132.808388</v>
      </c>
      <c r="J20" s="20">
        <f t="shared" si="5"/>
        <v>0.97</v>
      </c>
      <c r="K20" s="28">
        <f t="shared" si="6"/>
        <v>46685784878.824135</v>
      </c>
    </row>
    <row r="21" spans="1:11" x14ac:dyDescent="0.25">
      <c r="D21" s="20">
        <v>0.52</v>
      </c>
      <c r="E21" s="20">
        <f t="shared" si="0"/>
        <v>0.48</v>
      </c>
      <c r="F21" s="20">
        <f t="shared" si="1"/>
        <v>0.55000000000000004</v>
      </c>
      <c r="G21">
        <f t="shared" si="2"/>
        <v>0.87272727272727257</v>
      </c>
      <c r="H21" s="21">
        <f t="shared" si="3"/>
        <v>94700314031.992355</v>
      </c>
      <c r="I21" s="21">
        <f t="shared" si="4"/>
        <v>49244163296.636024</v>
      </c>
      <c r="J21" s="20">
        <f t="shared" si="5"/>
        <v>0.96599999999999997</v>
      </c>
      <c r="K21" s="28">
        <f t="shared" si="6"/>
        <v>47569861744.5504</v>
      </c>
    </row>
    <row r="22" spans="1:11" x14ac:dyDescent="0.25">
      <c r="D22" s="20">
        <v>0.54</v>
      </c>
      <c r="E22" s="20">
        <f t="shared" si="0"/>
        <v>0.45999999999999996</v>
      </c>
      <c r="F22" s="20">
        <f t="shared" si="1"/>
        <v>0.55000000000000004</v>
      </c>
      <c r="G22">
        <f t="shared" si="2"/>
        <v>0.8363636363636362</v>
      </c>
      <c r="H22" s="21">
        <f t="shared" si="3"/>
        <v>93101795563.253433</v>
      </c>
      <c r="I22" s="21">
        <f t="shared" si="4"/>
        <v>50274969604.15686</v>
      </c>
      <c r="J22" s="20">
        <f t="shared" si="5"/>
        <v>0.96199999999999997</v>
      </c>
      <c r="K22" s="28">
        <f t="shared" si="6"/>
        <v>48364520759.198898</v>
      </c>
    </row>
    <row r="23" spans="1:11" x14ac:dyDescent="0.25">
      <c r="D23" s="20">
        <v>0.56000000000000005</v>
      </c>
      <c r="E23" s="20">
        <f t="shared" si="0"/>
        <v>0.43999999999999995</v>
      </c>
      <c r="F23" s="20">
        <f t="shared" si="1"/>
        <v>0.55000000000000004</v>
      </c>
      <c r="G23">
        <f t="shared" si="2"/>
        <v>0.79999999999999982</v>
      </c>
      <c r="H23" s="21">
        <f t="shared" si="3"/>
        <v>91461010385.465256</v>
      </c>
      <c r="I23" s="21">
        <f t="shared" si="4"/>
        <v>51218165815.86055</v>
      </c>
      <c r="J23" s="20">
        <f t="shared" si="5"/>
        <v>0.95799999999999996</v>
      </c>
      <c r="K23" s="28">
        <f t="shared" si="6"/>
        <v>49067002851.594406</v>
      </c>
    </row>
    <row r="24" spans="1:11" x14ac:dyDescent="0.25">
      <c r="D24" s="20">
        <v>0.57999999999999996</v>
      </c>
      <c r="E24" s="20">
        <f t="shared" si="0"/>
        <v>0.42000000000000004</v>
      </c>
      <c r="F24" s="20">
        <f t="shared" si="1"/>
        <v>0.55000000000000004</v>
      </c>
      <c r="G24">
        <f t="shared" si="2"/>
        <v>0.76363636363636367</v>
      </c>
      <c r="H24" s="21">
        <f t="shared" si="3"/>
        <v>89774840119.513031</v>
      </c>
      <c r="I24" s="21">
        <f t="shared" si="4"/>
        <v>52069407269.317551</v>
      </c>
      <c r="J24" s="20">
        <f t="shared" si="5"/>
        <v>0.95399999999999996</v>
      </c>
      <c r="K24" s="28">
        <f t="shared" si="6"/>
        <v>49674214534.92894</v>
      </c>
    </row>
    <row r="25" spans="1:11" x14ac:dyDescent="0.25">
      <c r="D25" s="20">
        <v>0.6</v>
      </c>
      <c r="E25" s="20">
        <f t="shared" si="0"/>
        <v>0.4</v>
      </c>
      <c r="F25" s="20">
        <f t="shared" si="1"/>
        <v>0.55000000000000004</v>
      </c>
      <c r="G25">
        <f t="shared" si="2"/>
        <v>0.72727272727272729</v>
      </c>
      <c r="H25" s="21">
        <f t="shared" si="3"/>
        <v>88039774343.41716</v>
      </c>
      <c r="I25" s="21">
        <f t="shared" si="4"/>
        <v>52823864606.050293</v>
      </c>
      <c r="J25" s="20">
        <f t="shared" si="5"/>
        <v>0.95</v>
      </c>
      <c r="K25" s="28">
        <f t="shared" si="6"/>
        <v>50182671375.74778</v>
      </c>
    </row>
    <row r="26" spans="1:11" x14ac:dyDescent="0.25">
      <c r="D26" s="20">
        <v>0.62</v>
      </c>
      <c r="E26" s="20">
        <f t="shared" si="0"/>
        <v>0.38</v>
      </c>
      <c r="F26" s="20">
        <f t="shared" si="1"/>
        <v>0.55000000000000004</v>
      </c>
      <c r="G26">
        <f t="shared" si="2"/>
        <v>0.69090909090909081</v>
      </c>
      <c r="H26" s="21">
        <f t="shared" si="3"/>
        <v>86251838858.750778</v>
      </c>
      <c r="I26" s="21">
        <f t="shared" si="4"/>
        <v>53476140092.425484</v>
      </c>
      <c r="J26" s="20">
        <f t="shared" si="5"/>
        <v>0.94599999999999995</v>
      </c>
      <c r="K26" s="28">
        <f t="shared" si="6"/>
        <v>50588428527.434502</v>
      </c>
    </row>
    <row r="27" spans="1:11" x14ac:dyDescent="0.25">
      <c r="D27" s="20">
        <v>0.64</v>
      </c>
      <c r="E27" s="20">
        <f t="shared" si="0"/>
        <v>0.36</v>
      </c>
      <c r="F27" s="20">
        <f t="shared" si="1"/>
        <v>0.55000000000000004</v>
      </c>
      <c r="G27">
        <f t="shared" si="2"/>
        <v>0.65454545454545443</v>
      </c>
      <c r="H27" s="21">
        <f t="shared" si="3"/>
        <v>84406506281.79097</v>
      </c>
      <c r="I27" s="21">
        <f t="shared" si="4"/>
        <v>54020164020.346222</v>
      </c>
      <c r="J27" s="20">
        <f t="shared" si="5"/>
        <v>0.94199999999999995</v>
      </c>
      <c r="K27" s="28">
        <f t="shared" si="6"/>
        <v>50886994507.166138</v>
      </c>
    </row>
    <row r="28" spans="1:11" x14ac:dyDescent="0.25">
      <c r="D28" s="20">
        <v>0.66</v>
      </c>
      <c r="E28" s="20">
        <f t="shared" si="0"/>
        <v>0.33999999999999997</v>
      </c>
      <c r="F28" s="20">
        <f t="shared" si="1"/>
        <v>0.55000000000000004</v>
      </c>
      <c r="G28">
        <f t="shared" si="2"/>
        <v>0.61818181818181805</v>
      </c>
      <c r="H28" s="21">
        <f t="shared" si="3"/>
        <v>82498583355.23996</v>
      </c>
      <c r="I28" s="21">
        <f t="shared" si="4"/>
        <v>54449065014.458374</v>
      </c>
      <c r="J28" s="20">
        <f t="shared" si="5"/>
        <v>0.93799999999999994</v>
      </c>
      <c r="K28" s="28">
        <f t="shared" si="6"/>
        <v>51073222983.561951</v>
      </c>
    </row>
    <row r="29" spans="1:11" x14ac:dyDescent="0.25">
      <c r="D29" s="20">
        <v>0.68</v>
      </c>
      <c r="E29" s="20">
        <f t="shared" si="0"/>
        <v>0.31999999999999995</v>
      </c>
      <c r="F29" s="20">
        <f t="shared" si="1"/>
        <v>0.55000000000000004</v>
      </c>
      <c r="G29">
        <f t="shared" si="2"/>
        <v>0.58181818181818168</v>
      </c>
      <c r="H29" s="21">
        <f t="shared" si="3"/>
        <v>80522067155.572937</v>
      </c>
      <c r="I29" s="21">
        <f t="shared" si="4"/>
        <v>54755005665.789604</v>
      </c>
      <c r="J29" s="20">
        <f t="shared" si="5"/>
        <v>0.93399999999999994</v>
      </c>
      <c r="K29" s="28">
        <f t="shared" si="6"/>
        <v>51141175291.847488</v>
      </c>
    </row>
    <row r="30" spans="1:11" x14ac:dyDescent="0.25">
      <c r="D30" s="20">
        <v>0.7</v>
      </c>
      <c r="E30" s="20">
        <f t="shared" si="0"/>
        <v>0.30000000000000004</v>
      </c>
      <c r="F30" s="20">
        <f t="shared" si="1"/>
        <v>0.55000000000000004</v>
      </c>
      <c r="G30">
        <f t="shared" si="2"/>
        <v>0.54545454545454553</v>
      </c>
      <c r="H30" s="21">
        <f t="shared" si="3"/>
        <v>78469959071.673843</v>
      </c>
      <c r="I30" s="21">
        <f t="shared" si="4"/>
        <v>54928971350.171684</v>
      </c>
      <c r="J30" s="20">
        <f t="shared" si="5"/>
        <v>0.92999999999999994</v>
      </c>
      <c r="K30" s="28">
        <f t="shared" si="6"/>
        <v>51083943355.659668</v>
      </c>
    </row>
    <row r="31" spans="1:11" x14ac:dyDescent="0.25">
      <c r="D31" s="20">
        <v>0.72</v>
      </c>
      <c r="E31" s="20">
        <f t="shared" si="0"/>
        <v>0.28000000000000003</v>
      </c>
      <c r="F31" s="20">
        <f t="shared" si="1"/>
        <v>0.55000000000000004</v>
      </c>
      <c r="G31">
        <f t="shared" si="2"/>
        <v>0.50909090909090915</v>
      </c>
      <c r="H31" s="21">
        <f t="shared" si="3"/>
        <v>76334020418.793411</v>
      </c>
      <c r="I31" s="21">
        <f t="shared" si="4"/>
        <v>54960494701.531258</v>
      </c>
      <c r="J31" s="20">
        <f t="shared" si="5"/>
        <v>0.92599999999999993</v>
      </c>
      <c r="K31" s="28">
        <f t="shared" si="6"/>
        <v>50893418093.617943</v>
      </c>
    </row>
    <row r="32" spans="1:11" x14ac:dyDescent="0.25">
      <c r="D32" s="20">
        <v>0.74</v>
      </c>
      <c r="E32" s="20">
        <f t="shared" si="0"/>
        <v>0.26</v>
      </c>
      <c r="F32" s="20">
        <f t="shared" si="1"/>
        <v>0.55000000000000004</v>
      </c>
      <c r="G32">
        <f t="shared" si="2"/>
        <v>0.47272727272727272</v>
      </c>
      <c r="H32" s="21">
        <f t="shared" si="3"/>
        <v>74104445748.162155</v>
      </c>
      <c r="I32" s="21">
        <f t="shared" si="4"/>
        <v>54837289853.639992</v>
      </c>
      <c r="J32" s="20">
        <f t="shared" si="5"/>
        <v>0.92199999999999993</v>
      </c>
      <c r="K32" s="28">
        <f t="shared" si="6"/>
        <v>50559981245.056068</v>
      </c>
    </row>
    <row r="33" spans="4:11" x14ac:dyDescent="0.25">
      <c r="D33" s="20">
        <v>0.76</v>
      </c>
      <c r="E33" s="20">
        <f t="shared" si="0"/>
        <v>0.24</v>
      </c>
      <c r="F33" s="20">
        <f t="shared" si="1"/>
        <v>0.55000000000000004</v>
      </c>
      <c r="G33">
        <f t="shared" si="2"/>
        <v>0.43636363636363629</v>
      </c>
      <c r="H33" s="21">
        <f t="shared" si="3"/>
        <v>71769417416.013962</v>
      </c>
      <c r="I33" s="21">
        <f t="shared" si="4"/>
        <v>54544757236.170609</v>
      </c>
      <c r="J33" s="20">
        <f t="shared" si="5"/>
        <v>0.91799999999999993</v>
      </c>
      <c r="K33" s="28">
        <f t="shared" si="6"/>
        <v>50072087142.804619</v>
      </c>
    </row>
    <row r="34" spans="4:11" x14ac:dyDescent="0.25">
      <c r="D34" s="20">
        <v>0.78</v>
      </c>
      <c r="E34" s="20">
        <f t="shared" si="0"/>
        <v>0.21999999999999997</v>
      </c>
      <c r="F34" s="20">
        <f t="shared" si="1"/>
        <v>0.55000000000000004</v>
      </c>
      <c r="G34">
        <f t="shared" si="2"/>
        <v>0.39999999999999991</v>
      </c>
      <c r="H34" s="21">
        <f t="shared" si="3"/>
        <v>69314484315.514633</v>
      </c>
      <c r="I34" s="21">
        <f t="shared" si="4"/>
        <v>54065297766.101418</v>
      </c>
      <c r="J34" s="20">
        <f t="shared" si="5"/>
        <v>0.91399999999999992</v>
      </c>
      <c r="K34" s="28">
        <f t="shared" si="6"/>
        <v>49415682158.21669</v>
      </c>
    </row>
    <row r="35" spans="4:11" x14ac:dyDescent="0.25">
      <c r="D35" s="20">
        <v>0.8</v>
      </c>
      <c r="E35" s="20">
        <f t="shared" si="0"/>
        <v>0.19999999999999996</v>
      </c>
      <c r="F35" s="20">
        <f t="shared" si="1"/>
        <v>0.55000000000000004</v>
      </c>
      <c r="G35">
        <f t="shared" si="2"/>
        <v>0.36363636363636354</v>
      </c>
      <c r="H35" s="21">
        <f t="shared" si="3"/>
        <v>66721672242.077232</v>
      </c>
      <c r="I35" s="21">
        <f t="shared" si="4"/>
        <v>53377337793.661789</v>
      </c>
      <c r="J35" s="20">
        <f t="shared" si="5"/>
        <v>0.90999999999999992</v>
      </c>
      <c r="K35" s="28">
        <f t="shared" si="6"/>
        <v>48573377392.232224</v>
      </c>
    </row>
    <row r="36" spans="4:11" x14ac:dyDescent="0.25">
      <c r="D36" s="20">
        <v>0.82</v>
      </c>
      <c r="E36" s="20">
        <f t="shared" si="0"/>
        <v>0.18000000000000005</v>
      </c>
      <c r="F36" s="20">
        <f t="shared" si="1"/>
        <v>0.55000000000000004</v>
      </c>
      <c r="G36">
        <f t="shared" si="2"/>
        <v>0.32727272727272733</v>
      </c>
      <c r="H36" s="21">
        <f t="shared" si="3"/>
        <v>63968169946.287292</v>
      </c>
      <c r="I36" s="21">
        <f t="shared" si="4"/>
        <v>52453899355.955574</v>
      </c>
      <c r="J36" s="20">
        <f t="shared" si="5"/>
        <v>0.90600000000000003</v>
      </c>
      <c r="K36" s="28">
        <f t="shared" si="6"/>
        <v>47523232816.495758</v>
      </c>
    </row>
    <row r="37" spans="4:11" x14ac:dyDescent="0.25">
      <c r="D37" s="20">
        <v>0.84</v>
      </c>
      <c r="E37" s="20">
        <f t="shared" si="0"/>
        <v>0.16000000000000003</v>
      </c>
      <c r="F37" s="20">
        <f t="shared" si="1"/>
        <v>0.55000000000000004</v>
      </c>
      <c r="G37">
        <f t="shared" si="2"/>
        <v>0.29090909090909095</v>
      </c>
      <c r="H37" s="21">
        <f t="shared" si="3"/>
        <v>61024315578.682365</v>
      </c>
      <c r="I37" s="21">
        <f t="shared" si="4"/>
        <v>51260425086.093185</v>
      </c>
      <c r="J37" s="20">
        <f t="shared" si="5"/>
        <v>0.90200000000000002</v>
      </c>
      <c r="K37" s="28">
        <f t="shared" si="6"/>
        <v>46236903427.656059</v>
      </c>
    </row>
    <row r="38" spans="4:11" x14ac:dyDescent="0.25">
      <c r="D38" s="20">
        <v>0.86</v>
      </c>
      <c r="E38" s="20">
        <f t="shared" si="0"/>
        <v>0.14000000000000001</v>
      </c>
      <c r="F38" s="20">
        <f t="shared" si="1"/>
        <v>0.55000000000000004</v>
      </c>
      <c r="G38">
        <f t="shared" si="2"/>
        <v>0.25454545454545457</v>
      </c>
      <c r="H38" s="21">
        <f t="shared" si="3"/>
        <v>57850369668.554092</v>
      </c>
      <c r="I38" s="21">
        <f t="shared" si="4"/>
        <v>49751317914.95652</v>
      </c>
      <c r="J38" s="20">
        <f t="shared" si="5"/>
        <v>0.89800000000000002</v>
      </c>
      <c r="K38" s="28">
        <f t="shared" si="6"/>
        <v>44676683487.630951</v>
      </c>
    </row>
    <row r="39" spans="4:11" x14ac:dyDescent="0.25">
      <c r="D39" s="20">
        <v>0.88</v>
      </c>
      <c r="E39" s="20">
        <f t="shared" si="0"/>
        <v>0.12</v>
      </c>
      <c r="F39" s="20">
        <f t="shared" si="1"/>
        <v>0.55000000000000004</v>
      </c>
      <c r="G39">
        <f t="shared" si="2"/>
        <v>0.21818181818181814</v>
      </c>
      <c r="H39" s="21">
        <f t="shared" si="3"/>
        <v>54391047473.126122</v>
      </c>
      <c r="I39" s="21">
        <f t="shared" si="4"/>
        <v>47864121776.35099</v>
      </c>
      <c r="J39" s="20">
        <f t="shared" si="5"/>
        <v>0.89400000000000002</v>
      </c>
      <c r="K39" s="28">
        <f t="shared" si="6"/>
        <v>42790524868.057777</v>
      </c>
    </row>
    <row r="40" spans="4:11" x14ac:dyDescent="0.25">
      <c r="D40" s="20">
        <v>0.9</v>
      </c>
      <c r="E40" s="20">
        <f t="shared" si="0"/>
        <v>9.9999999999999978E-2</v>
      </c>
      <c r="F40" s="20">
        <f t="shared" si="1"/>
        <v>0.55000000000000004</v>
      </c>
      <c r="G40">
        <f t="shared" si="2"/>
        <v>0.18181818181818177</v>
      </c>
      <c r="H40" s="21">
        <f t="shared" si="3"/>
        <v>50565571981.296722</v>
      </c>
      <c r="I40" s="21">
        <f t="shared" si="4"/>
        <v>45509014783.167053</v>
      </c>
      <c r="J40" s="20">
        <f t="shared" si="5"/>
        <v>0.89</v>
      </c>
      <c r="K40" s="28">
        <f t="shared" si="6"/>
        <v>40503023157.018677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4D403-2063-4C0E-B6A3-D543A23A3035}">
  <dimension ref="A1:I19"/>
  <sheetViews>
    <sheetView zoomScale="145" zoomScaleNormal="145" workbookViewId="0">
      <selection activeCell="E3" sqref="E3"/>
    </sheetView>
  </sheetViews>
  <sheetFormatPr defaultRowHeight="15" x14ac:dyDescent="0.25"/>
  <cols>
    <col min="1" max="1" width="9.7109375" bestFit="1" customWidth="1"/>
    <col min="2" max="2" width="13.5703125" bestFit="1" customWidth="1"/>
    <col min="3" max="3" width="21.7109375" bestFit="1" customWidth="1"/>
    <col min="4" max="4" width="13.5703125" customWidth="1"/>
  </cols>
  <sheetData>
    <row r="1" spans="1:9" ht="45.75" customHeight="1" x14ac:dyDescent="0.25">
      <c r="A1" s="1" t="s">
        <v>69</v>
      </c>
      <c r="B1" s="1" t="s">
        <v>72</v>
      </c>
      <c r="C1" s="1" t="s">
        <v>73</v>
      </c>
      <c r="D1" s="1"/>
      <c r="F1" s="1"/>
      <c r="H1" s="1" t="s">
        <v>70</v>
      </c>
      <c r="I1">
        <v>-4</v>
      </c>
    </row>
    <row r="2" spans="1:9" x14ac:dyDescent="0.25">
      <c r="A2">
        <v>0.2</v>
      </c>
      <c r="B2">
        <f>$I$1+$I$2*A2</f>
        <v>-1.5999999999999996</v>
      </c>
      <c r="C2">
        <f>1/(1+EXP(-B2))</f>
        <v>0.16798161486607557</v>
      </c>
      <c r="D2" s="1"/>
      <c r="F2" s="1"/>
      <c r="H2" s="1" t="s">
        <v>71</v>
      </c>
      <c r="I2">
        <v>12</v>
      </c>
    </row>
    <row r="3" spans="1:9" x14ac:dyDescent="0.25">
      <c r="A3">
        <v>0.25</v>
      </c>
      <c r="B3">
        <f>$I$1+$I$2*A3</f>
        <v>-1</v>
      </c>
      <c r="C3">
        <f t="shared" ref="C3:C13" si="0">1/(1+EXP(-B3))</f>
        <v>0.2689414213699951</v>
      </c>
    </row>
    <row r="4" spans="1:9" x14ac:dyDescent="0.25">
      <c r="A4">
        <v>0.3</v>
      </c>
      <c r="B4">
        <f t="shared" ref="B4:B14" si="1">$I$1+$I$2*A4</f>
        <v>-0.40000000000000036</v>
      </c>
      <c r="C4">
        <f t="shared" si="0"/>
        <v>0.40131233988754794</v>
      </c>
    </row>
    <row r="5" spans="1:9" x14ac:dyDescent="0.25">
      <c r="A5">
        <v>0.35</v>
      </c>
      <c r="B5">
        <f t="shared" si="1"/>
        <v>0.19999999999999929</v>
      </c>
      <c r="C5">
        <f t="shared" si="0"/>
        <v>0.54983399731247773</v>
      </c>
    </row>
    <row r="6" spans="1:9" x14ac:dyDescent="0.25">
      <c r="A6">
        <v>0.4</v>
      </c>
      <c r="B6">
        <f t="shared" si="1"/>
        <v>0.80000000000000071</v>
      </c>
      <c r="C6">
        <f t="shared" si="0"/>
        <v>0.68997448112761262</v>
      </c>
    </row>
    <row r="7" spans="1:9" x14ac:dyDescent="0.25">
      <c r="A7">
        <v>0.45</v>
      </c>
      <c r="B7">
        <f t="shared" si="1"/>
        <v>1.4000000000000004</v>
      </c>
      <c r="C7">
        <f t="shared" si="0"/>
        <v>0.8021838885585818</v>
      </c>
    </row>
    <row r="8" spans="1:9" x14ac:dyDescent="0.25">
      <c r="A8">
        <v>0.5</v>
      </c>
      <c r="B8">
        <f t="shared" si="1"/>
        <v>2</v>
      </c>
      <c r="C8">
        <f t="shared" si="0"/>
        <v>0.88079707797788231</v>
      </c>
    </row>
    <row r="9" spans="1:9" x14ac:dyDescent="0.25">
      <c r="A9">
        <v>0.55000000000000004</v>
      </c>
      <c r="B9">
        <f t="shared" si="1"/>
        <v>2.6000000000000005</v>
      </c>
      <c r="C9">
        <f t="shared" si="0"/>
        <v>0.93086157965665328</v>
      </c>
    </row>
    <row r="10" spans="1:9" x14ac:dyDescent="0.25">
      <c r="A10">
        <v>0.6</v>
      </c>
      <c r="B10">
        <f t="shared" si="1"/>
        <v>3.1999999999999993</v>
      </c>
      <c r="C10">
        <f t="shared" si="0"/>
        <v>0.96083427720323566</v>
      </c>
    </row>
    <row r="11" spans="1:9" x14ac:dyDescent="0.25">
      <c r="A11">
        <v>0.65</v>
      </c>
      <c r="B11">
        <f t="shared" si="1"/>
        <v>3.8000000000000007</v>
      </c>
      <c r="C11">
        <f t="shared" si="0"/>
        <v>0.97811872906386943</v>
      </c>
    </row>
    <row r="12" spans="1:9" x14ac:dyDescent="0.25">
      <c r="A12">
        <v>0.7</v>
      </c>
      <c r="B12">
        <f t="shared" si="1"/>
        <v>4.3999999999999986</v>
      </c>
      <c r="C12">
        <f t="shared" si="0"/>
        <v>0.98787156501572571</v>
      </c>
    </row>
    <row r="13" spans="1:9" x14ac:dyDescent="0.25">
      <c r="A13">
        <v>0.75</v>
      </c>
      <c r="B13">
        <f t="shared" si="1"/>
        <v>5</v>
      </c>
      <c r="C13">
        <f t="shared" si="0"/>
        <v>0.99330714907571527</v>
      </c>
    </row>
    <row r="14" spans="1:9" x14ac:dyDescent="0.25">
      <c r="A14">
        <v>0.8</v>
      </c>
      <c r="B14">
        <f t="shared" si="1"/>
        <v>5.6000000000000014</v>
      </c>
      <c r="C14">
        <f>1/(1+EXP(-B14))</f>
        <v>0.99631576010056411</v>
      </c>
    </row>
    <row r="19" ht="13.5" customHeight="1" x14ac:dyDescent="0.25"/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027A7-E5D0-4F5B-AE81-A6F4E2E9553A}">
  <dimension ref="A1:T40"/>
  <sheetViews>
    <sheetView zoomScaleNormal="100" workbookViewId="0">
      <selection activeCell="C7" sqref="C7"/>
    </sheetView>
  </sheetViews>
  <sheetFormatPr defaultRowHeight="15" x14ac:dyDescent="0.25"/>
  <cols>
    <col min="1" max="1" width="59.28515625" customWidth="1"/>
    <col min="4" max="4" width="12.7109375" style="20" customWidth="1"/>
    <col min="5" max="6" width="16.7109375" style="20" customWidth="1"/>
    <col min="7" max="7" width="10.7109375" customWidth="1"/>
    <col min="8" max="8" width="26.7109375" style="21" customWidth="1"/>
    <col min="9" max="9" width="24.7109375" style="21" customWidth="1"/>
    <col min="10" max="10" width="24.28515625" style="21" bestFit="1" customWidth="1"/>
    <col min="11" max="11" width="41" style="21" bestFit="1" customWidth="1"/>
    <col min="13" max="13" width="26.140625" bestFit="1" customWidth="1"/>
    <col min="16" max="16" width="20.28515625" bestFit="1" customWidth="1"/>
    <col min="19" max="19" width="11.7109375" bestFit="1" customWidth="1"/>
  </cols>
  <sheetData>
    <row r="1" spans="1:20" ht="18.75" x14ac:dyDescent="0.3">
      <c r="A1" s="19" t="s">
        <v>41</v>
      </c>
    </row>
    <row r="2" spans="1:20" x14ac:dyDescent="0.25">
      <c r="A2" s="22" t="s">
        <v>42</v>
      </c>
    </row>
    <row r="4" spans="1:20" x14ac:dyDescent="0.25">
      <c r="A4" s="23" t="s">
        <v>30</v>
      </c>
      <c r="D4" s="23" t="s">
        <v>31</v>
      </c>
      <c r="E4" s="23" t="s">
        <v>32</v>
      </c>
      <c r="F4" s="23" t="s">
        <v>33</v>
      </c>
      <c r="G4" s="23" t="s">
        <v>34</v>
      </c>
      <c r="H4" s="23" t="s">
        <v>35</v>
      </c>
      <c r="I4" s="23" t="s">
        <v>36</v>
      </c>
      <c r="J4" s="23" t="s">
        <v>67</v>
      </c>
      <c r="K4" s="23" t="s">
        <v>68</v>
      </c>
      <c r="M4" s="23" t="s">
        <v>43</v>
      </c>
      <c r="P4" s="23" t="s">
        <v>43</v>
      </c>
    </row>
    <row r="5" spans="1:20" x14ac:dyDescent="0.25">
      <c r="A5" t="s">
        <v>44</v>
      </c>
      <c r="B5" s="24">
        <v>0.45</v>
      </c>
      <c r="D5" s="20">
        <v>0.2</v>
      </c>
      <c r="E5" s="20">
        <f t="shared" ref="E5:E40" si="0">1-D5</f>
        <v>0.8</v>
      </c>
      <c r="F5" s="20">
        <f t="shared" ref="F5:F40" si="1">1-$B$5</f>
        <v>0.55000000000000004</v>
      </c>
      <c r="G5">
        <f t="shared" ref="G5:G40" si="2">E5/F5</f>
        <v>1.4545454545454546</v>
      </c>
      <c r="H5" s="21">
        <f t="shared" ref="H5:H40" si="3">$B$6*POWER(G5,$B$7)</f>
        <v>116169178708.79941</v>
      </c>
      <c r="I5" s="21">
        <f t="shared" ref="I5:I40" si="4">D5*H5</f>
        <v>23233835741.759884</v>
      </c>
      <c r="J5" s="20">
        <f>1/(1+EXP($T$6 + $T$5*D5))</f>
        <v>0.9958097221920883</v>
      </c>
      <c r="K5" s="28">
        <f t="shared" ref="K5:K40" si="5">(D5 * J5 * H5)</f>
        <v>23136479515.458519</v>
      </c>
      <c r="M5" t="s">
        <v>59</v>
      </c>
      <c r="N5" s="28">
        <f>MAX(K5:K1000)</f>
        <v>50592113482.352654</v>
      </c>
      <c r="P5" t="s">
        <v>45</v>
      </c>
      <c r="Q5" s="21">
        <f>MAX(I5:I40)</f>
        <v>54960494701.531258</v>
      </c>
      <c r="S5" t="s">
        <v>65</v>
      </c>
      <c r="T5">
        <f>(LN((1-$B$12)/$B$12) - LN((1-$B$8)/$B$8)) / ($B$11 - $B$5)</f>
        <v>6.3158754596279092</v>
      </c>
    </row>
    <row r="6" spans="1:20" x14ac:dyDescent="0.25">
      <c r="A6" t="s">
        <v>52</v>
      </c>
      <c r="B6" s="25">
        <v>100000000000</v>
      </c>
      <c r="D6" s="20">
        <v>0.22</v>
      </c>
      <c r="E6" s="20">
        <f t="shared" si="0"/>
        <v>0.78</v>
      </c>
      <c r="F6" s="20">
        <f t="shared" si="1"/>
        <v>0.55000000000000004</v>
      </c>
      <c r="G6">
        <f t="shared" si="2"/>
        <v>1.4181818181818182</v>
      </c>
      <c r="H6" s="21">
        <f t="shared" si="3"/>
        <v>114998656141.73634</v>
      </c>
      <c r="I6" s="21">
        <f t="shared" si="4"/>
        <v>25299704351.181995</v>
      </c>
      <c r="J6" s="20">
        <f t="shared" ref="J6:J40" si="6">1/(1+EXP($T$6 + $T$5*D6))</f>
        <v>0.99524821416006704</v>
      </c>
      <c r="K6" s="28">
        <f t="shared" si="5"/>
        <v>25179485574.291557</v>
      </c>
      <c r="M6" t="s">
        <v>60</v>
      </c>
      <c r="N6" s="20">
        <f>INDEX(D5:D1000, MATCH(N5, K5:K1000, 0))</f>
        <v>0.64</v>
      </c>
      <c r="P6" t="s">
        <v>46</v>
      </c>
      <c r="Q6" s="20">
        <f>INDEX(D5:D40, MATCH(Q5, I5:I40, 0))</f>
        <v>0.72</v>
      </c>
      <c r="S6" t="s">
        <v>66</v>
      </c>
      <c r="T6">
        <f>LN((1-$B$8)/$B$8) - T5*$B$5</f>
        <v>-6.7339642549431851</v>
      </c>
    </row>
    <row r="7" spans="1:20" x14ac:dyDescent="0.25">
      <c r="A7" t="s">
        <v>37</v>
      </c>
      <c r="B7" s="27">
        <v>0.4</v>
      </c>
      <c r="D7" s="20">
        <v>0.24</v>
      </c>
      <c r="E7" s="20">
        <f t="shared" si="0"/>
        <v>0.76</v>
      </c>
      <c r="F7" s="20">
        <f t="shared" si="1"/>
        <v>0.55000000000000004</v>
      </c>
      <c r="G7">
        <f t="shared" si="2"/>
        <v>1.3818181818181816</v>
      </c>
      <c r="H7" s="21">
        <f t="shared" si="3"/>
        <v>113809983692.83058</v>
      </c>
      <c r="I7" s="21">
        <f t="shared" si="4"/>
        <v>27314396086.279339</v>
      </c>
      <c r="J7" s="20">
        <f t="shared" si="6"/>
        <v>0.99461186973164462</v>
      </c>
      <c r="K7" s="28">
        <f t="shared" si="5"/>
        <v>27167222561.965008</v>
      </c>
    </row>
    <row r="8" spans="1:20" x14ac:dyDescent="0.25">
      <c r="A8" t="s">
        <v>55</v>
      </c>
      <c r="B8" s="27">
        <v>0.98</v>
      </c>
      <c r="D8" s="20">
        <v>0.26</v>
      </c>
      <c r="E8" s="20">
        <f t="shared" si="0"/>
        <v>0.74</v>
      </c>
      <c r="F8" s="20">
        <f t="shared" si="1"/>
        <v>0.55000000000000004</v>
      </c>
      <c r="G8">
        <f t="shared" si="2"/>
        <v>1.3454545454545452</v>
      </c>
      <c r="H8" s="21">
        <f t="shared" si="3"/>
        <v>112602390914.23859</v>
      </c>
      <c r="I8" s="21">
        <f t="shared" si="4"/>
        <v>29276621637.702034</v>
      </c>
      <c r="J8" s="20">
        <f t="shared" si="6"/>
        <v>0.99389083112246823</v>
      </c>
      <c r="K8" s="28">
        <f t="shared" si="5"/>
        <v>29097765811.953712</v>
      </c>
    </row>
    <row r="9" spans="1:20" x14ac:dyDescent="0.25">
      <c r="A9" s="30" t="s">
        <v>56</v>
      </c>
      <c r="B9" s="31">
        <v>0.2</v>
      </c>
      <c r="D9" s="20">
        <v>0.28000000000000003</v>
      </c>
      <c r="E9" s="20">
        <f t="shared" si="0"/>
        <v>0.72</v>
      </c>
      <c r="F9" s="20">
        <f t="shared" si="1"/>
        <v>0.55000000000000004</v>
      </c>
      <c r="G9">
        <f t="shared" si="2"/>
        <v>1.3090909090909089</v>
      </c>
      <c r="H9" s="21">
        <f t="shared" si="3"/>
        <v>111375052759.52519</v>
      </c>
      <c r="I9" s="21">
        <f t="shared" si="4"/>
        <v>31185014772.667057</v>
      </c>
      <c r="J9" s="20">
        <f t="shared" si="6"/>
        <v>0.99307397516550233</v>
      </c>
      <c r="K9" s="28">
        <f t="shared" si="5"/>
        <v>30969026585.887386</v>
      </c>
    </row>
    <row r="10" spans="1:20" x14ac:dyDescent="0.25">
      <c r="D10" s="20">
        <v>0.3</v>
      </c>
      <c r="E10" s="20">
        <f t="shared" si="0"/>
        <v>0.7</v>
      </c>
      <c r="F10" s="20">
        <f t="shared" si="1"/>
        <v>0.55000000000000004</v>
      </c>
      <c r="G10">
        <f t="shared" si="2"/>
        <v>1.2727272727272725</v>
      </c>
      <c r="H10" s="21">
        <f t="shared" si="3"/>
        <v>110127084075.71257</v>
      </c>
      <c r="I10" s="21">
        <f t="shared" si="4"/>
        <v>33038125222.713768</v>
      </c>
      <c r="J10" s="20">
        <f t="shared" si="6"/>
        <v>0.99214876033057842</v>
      </c>
      <c r="K10" s="28">
        <f t="shared" si="5"/>
        <v>32778734983.361881</v>
      </c>
    </row>
    <row r="11" spans="1:20" x14ac:dyDescent="0.25">
      <c r="A11" t="s">
        <v>63</v>
      </c>
      <c r="B11" s="27">
        <v>0.6</v>
      </c>
      <c r="D11" s="20">
        <v>0.32</v>
      </c>
      <c r="E11" s="20">
        <f t="shared" si="0"/>
        <v>0.67999999999999994</v>
      </c>
      <c r="F11" s="20">
        <f t="shared" si="1"/>
        <v>0.55000000000000004</v>
      </c>
      <c r="G11">
        <f t="shared" si="2"/>
        <v>1.2363636363636361</v>
      </c>
      <c r="H11" s="21">
        <f t="shared" si="3"/>
        <v>108857533364.79616</v>
      </c>
      <c r="I11" s="21">
        <f t="shared" si="4"/>
        <v>34834410676.734772</v>
      </c>
      <c r="J11" s="20">
        <f t="shared" si="6"/>
        <v>0.99110105796663162</v>
      </c>
      <c r="K11" s="28">
        <f t="shared" si="5"/>
        <v>34524421275.355957</v>
      </c>
    </row>
    <row r="12" spans="1:20" x14ac:dyDescent="0.25">
      <c r="A12" t="s">
        <v>64</v>
      </c>
      <c r="B12" s="27">
        <v>0.95</v>
      </c>
      <c r="D12" s="20">
        <v>0.34</v>
      </c>
      <c r="E12" s="20">
        <f t="shared" si="0"/>
        <v>0.65999999999999992</v>
      </c>
      <c r="F12" s="20">
        <f t="shared" si="1"/>
        <v>0.55000000000000004</v>
      </c>
      <c r="G12">
        <f t="shared" si="2"/>
        <v>1.1999999999999997</v>
      </c>
      <c r="H12" s="21">
        <f t="shared" si="3"/>
        <v>107565375693.25699</v>
      </c>
      <c r="I12" s="21">
        <f t="shared" si="4"/>
        <v>36572227735.707382</v>
      </c>
      <c r="J12" s="20">
        <f t="shared" si="6"/>
        <v>0.98991496694745174</v>
      </c>
      <c r="K12" s="28">
        <f t="shared" si="5"/>
        <v>36203395610.187447</v>
      </c>
    </row>
    <row r="13" spans="1:20" x14ac:dyDescent="0.25">
      <c r="D13" s="20">
        <v>0.36</v>
      </c>
      <c r="E13" s="20">
        <f t="shared" si="0"/>
        <v>0.64</v>
      </c>
      <c r="F13" s="20">
        <f t="shared" si="1"/>
        <v>0.55000000000000004</v>
      </c>
      <c r="G13">
        <f t="shared" si="2"/>
        <v>1.1636363636363636</v>
      </c>
      <c r="H13" s="21">
        <f t="shared" si="3"/>
        <v>106249504603.56474</v>
      </c>
      <c r="I13" s="21">
        <f t="shared" si="4"/>
        <v>38249821657.283302</v>
      </c>
      <c r="J13" s="20">
        <f t="shared" si="6"/>
        <v>0.98857261113092032</v>
      </c>
      <c r="K13" s="28">
        <f t="shared" si="5"/>
        <v>37812726071.032585</v>
      </c>
    </row>
    <row r="14" spans="1:20" x14ac:dyDescent="0.25">
      <c r="D14" s="20">
        <v>0.38</v>
      </c>
      <c r="E14" s="20">
        <f t="shared" si="0"/>
        <v>0.62</v>
      </c>
      <c r="F14" s="20">
        <f t="shared" si="1"/>
        <v>0.55000000000000004</v>
      </c>
      <c r="G14">
        <f t="shared" si="2"/>
        <v>1.1272727272727272</v>
      </c>
      <c r="H14" s="21">
        <f t="shared" si="3"/>
        <v>104908722851.24191</v>
      </c>
      <c r="I14" s="21">
        <f t="shared" si="4"/>
        <v>39865314683.471924</v>
      </c>
      <c r="J14" s="20">
        <f t="shared" si="6"/>
        <v>0.98705391938369269</v>
      </c>
      <c r="K14" s="28">
        <f t="shared" si="5"/>
        <v>39349215105.78524</v>
      </c>
    </row>
    <row r="15" spans="1:20" x14ac:dyDescent="0.25">
      <c r="D15" s="20">
        <v>0.4</v>
      </c>
      <c r="E15" s="20">
        <f t="shared" si="0"/>
        <v>0.6</v>
      </c>
      <c r="F15" s="20">
        <f t="shared" si="1"/>
        <v>0.55000000000000004</v>
      </c>
      <c r="G15">
        <f t="shared" si="2"/>
        <v>1.0909090909090908</v>
      </c>
      <c r="H15" s="21">
        <f t="shared" si="3"/>
        <v>103541731753.09886</v>
      </c>
      <c r="I15" s="21">
        <f t="shared" si="4"/>
        <v>41416692701.239548</v>
      </c>
      <c r="J15" s="20">
        <f t="shared" si="6"/>
        <v>0.98533638841023352</v>
      </c>
      <c r="K15" s="28">
        <f t="shared" si="5"/>
        <v>40809374406.135857</v>
      </c>
    </row>
    <row r="16" spans="1:20" x14ac:dyDescent="0.25">
      <c r="A16" s="23" t="s">
        <v>38</v>
      </c>
      <c r="D16" s="20">
        <v>0.42</v>
      </c>
      <c r="E16" s="20">
        <f t="shared" si="0"/>
        <v>0.58000000000000007</v>
      </c>
      <c r="F16" s="20">
        <f t="shared" si="1"/>
        <v>0.55000000000000004</v>
      </c>
      <c r="G16">
        <f t="shared" si="2"/>
        <v>1.0545454545454547</v>
      </c>
      <c r="H16" s="21">
        <f t="shared" si="3"/>
        <v>102147118884.5629</v>
      </c>
      <c r="I16" s="21">
        <f t="shared" si="4"/>
        <v>42901789931.516418</v>
      </c>
      <c r="J16" s="20">
        <f t="shared" si="6"/>
        <v>0.98339482929559041</v>
      </c>
      <c r="K16" s="28">
        <f t="shared" si="5"/>
        <v>42189398386.178864</v>
      </c>
    </row>
    <row r="17" spans="1:11" x14ac:dyDescent="0.25">
      <c r="A17" s="22" t="s">
        <v>47</v>
      </c>
      <c r="D17" s="20">
        <v>0.44</v>
      </c>
      <c r="E17" s="20">
        <f t="shared" si="0"/>
        <v>0.56000000000000005</v>
      </c>
      <c r="F17" s="20">
        <f t="shared" si="1"/>
        <v>0.55000000000000004</v>
      </c>
      <c r="G17">
        <f t="shared" si="2"/>
        <v>1.0181818181818183</v>
      </c>
      <c r="H17" s="21">
        <f t="shared" si="3"/>
        <v>100723343803.69756</v>
      </c>
      <c r="I17" s="21">
        <f t="shared" si="4"/>
        <v>44318271273.626923</v>
      </c>
      <c r="J17" s="20">
        <f t="shared" si="6"/>
        <v>0.98120109957082413</v>
      </c>
      <c r="K17" s="28">
        <f t="shared" si="5"/>
        <v>43485136504.760811</v>
      </c>
    </row>
    <row r="18" spans="1:11" x14ac:dyDescent="0.25">
      <c r="A18" s="22" t="s">
        <v>48</v>
      </c>
      <c r="D18" s="20">
        <v>0.46</v>
      </c>
      <c r="E18" s="20">
        <f t="shared" si="0"/>
        <v>0.54</v>
      </c>
      <c r="F18" s="20">
        <f t="shared" si="1"/>
        <v>0.55000000000000004</v>
      </c>
      <c r="G18">
        <f t="shared" si="2"/>
        <v>0.98181818181818181</v>
      </c>
      <c r="H18" s="21">
        <f t="shared" si="3"/>
        <v>99268721402.611465</v>
      </c>
      <c r="I18" s="21">
        <f t="shared" si="4"/>
        <v>45663611845.201279</v>
      </c>
      <c r="J18" s="20">
        <f t="shared" si="6"/>
        <v>0.97872382379095646</v>
      </c>
      <c r="K18" s="28">
        <f t="shared" si="5"/>
        <v>44692064793.241409</v>
      </c>
    </row>
    <row r="19" spans="1:11" x14ac:dyDescent="0.25">
      <c r="A19" s="22" t="s">
        <v>49</v>
      </c>
      <c r="D19" s="20">
        <v>0.48</v>
      </c>
      <c r="E19" s="20">
        <f t="shared" si="0"/>
        <v>0.52</v>
      </c>
      <c r="F19" s="20">
        <f t="shared" si="1"/>
        <v>0.55000000000000004</v>
      </c>
      <c r="G19">
        <f t="shared" si="2"/>
        <v>0.94545454545454544</v>
      </c>
      <c r="H19" s="21">
        <f t="shared" si="3"/>
        <v>97781402388.140732</v>
      </c>
      <c r="I19" s="21">
        <f t="shared" si="4"/>
        <v>46935073146.307549</v>
      </c>
      <c r="J19" s="20">
        <f t="shared" si="6"/>
        <v>0.9759281071363024</v>
      </c>
      <c r="K19" s="28">
        <f t="shared" si="5"/>
        <v>45805257093.97982</v>
      </c>
    </row>
    <row r="20" spans="1:11" x14ac:dyDescent="0.25">
      <c r="D20" s="20">
        <v>0.5</v>
      </c>
      <c r="E20" s="20">
        <f t="shared" si="0"/>
        <v>0.5</v>
      </c>
      <c r="F20" s="20">
        <f t="shared" si="1"/>
        <v>0.55000000000000004</v>
      </c>
      <c r="G20">
        <f t="shared" si="2"/>
        <v>0.90909090909090906</v>
      </c>
      <c r="H20" s="21">
        <f t="shared" si="3"/>
        <v>96259350265.616776</v>
      </c>
      <c r="I20" s="21">
        <f t="shared" si="4"/>
        <v>48129675132.808388</v>
      </c>
      <c r="J20" s="20">
        <f t="shared" si="6"/>
        <v>0.97277524847201524</v>
      </c>
      <c r="K20" s="28">
        <f t="shared" si="5"/>
        <v>46819356686.195053</v>
      </c>
    </row>
    <row r="21" spans="1:11" x14ac:dyDescent="0.25">
      <c r="D21" s="20">
        <v>0.52</v>
      </c>
      <c r="E21" s="20">
        <f t="shared" si="0"/>
        <v>0.48</v>
      </c>
      <c r="F21" s="20">
        <f t="shared" si="1"/>
        <v>0.55000000000000004</v>
      </c>
      <c r="G21">
        <f t="shared" si="2"/>
        <v>0.87272727272727257</v>
      </c>
      <c r="H21" s="21">
        <f t="shared" si="3"/>
        <v>94700314031.992355</v>
      </c>
      <c r="I21" s="21">
        <f t="shared" si="4"/>
        <v>49244163296.636024</v>
      </c>
      <c r="J21" s="20">
        <f t="shared" si="6"/>
        <v>0.96922246169139992</v>
      </c>
      <c r="K21" s="28">
        <f t="shared" si="5"/>
        <v>47728549174.298859</v>
      </c>
    </row>
    <row r="22" spans="1:11" x14ac:dyDescent="0.25">
      <c r="D22" s="20">
        <v>0.54</v>
      </c>
      <c r="E22" s="20">
        <f t="shared" si="0"/>
        <v>0.45999999999999996</v>
      </c>
      <c r="F22" s="20">
        <f t="shared" si="1"/>
        <v>0.55000000000000004</v>
      </c>
      <c r="G22">
        <f t="shared" si="2"/>
        <v>0.8363636363636362</v>
      </c>
      <c r="H22" s="21">
        <f t="shared" si="3"/>
        <v>93101795563.253433</v>
      </c>
      <c r="I22" s="21">
        <f t="shared" si="4"/>
        <v>50274969604.15686</v>
      </c>
      <c r="J22" s="20">
        <f t="shared" si="6"/>
        <v>0.96522261708460266</v>
      </c>
      <c r="K22" s="28">
        <f t="shared" si="5"/>
        <v>48526537735.173134</v>
      </c>
    </row>
    <row r="23" spans="1:11" x14ac:dyDescent="0.25">
      <c r="D23" s="20">
        <v>0.56000000000000005</v>
      </c>
      <c r="E23" s="20">
        <f t="shared" si="0"/>
        <v>0.43999999999999995</v>
      </c>
      <c r="F23" s="20">
        <f t="shared" si="1"/>
        <v>0.55000000000000004</v>
      </c>
      <c r="G23">
        <f t="shared" si="2"/>
        <v>0.79999999999999982</v>
      </c>
      <c r="H23" s="21">
        <f t="shared" si="3"/>
        <v>91461010385.465256</v>
      </c>
      <c r="I23" s="21">
        <f t="shared" si="4"/>
        <v>51218165815.86055</v>
      </c>
      <c r="J23" s="20">
        <f t="shared" si="6"/>
        <v>0.96072401795999174</v>
      </c>
      <c r="K23" s="28">
        <f t="shared" si="5"/>
        <v>49206522055.154648</v>
      </c>
    </row>
    <row r="24" spans="1:11" x14ac:dyDescent="0.25">
      <c r="D24" s="20">
        <v>0.57999999999999996</v>
      </c>
      <c r="E24" s="20">
        <f t="shared" si="0"/>
        <v>0.42000000000000004</v>
      </c>
      <c r="F24" s="20">
        <f t="shared" si="1"/>
        <v>0.55000000000000004</v>
      </c>
      <c r="G24">
        <f t="shared" si="2"/>
        <v>0.76363636363636367</v>
      </c>
      <c r="H24" s="21">
        <f t="shared" si="3"/>
        <v>89774840119.513031</v>
      </c>
      <c r="I24" s="21">
        <f t="shared" si="4"/>
        <v>52069407269.317551</v>
      </c>
      <c r="J24" s="20">
        <f t="shared" si="6"/>
        <v>0.95567023181735655</v>
      </c>
      <c r="K24" s="28">
        <f t="shared" si="5"/>
        <v>49761182515.661057</v>
      </c>
    </row>
    <row r="25" spans="1:11" x14ac:dyDescent="0.25">
      <c r="D25" s="20">
        <v>0.6</v>
      </c>
      <c r="E25" s="20">
        <f t="shared" si="0"/>
        <v>0.4</v>
      </c>
      <c r="F25" s="20">
        <f t="shared" si="1"/>
        <v>0.55000000000000004</v>
      </c>
      <c r="G25">
        <f t="shared" si="2"/>
        <v>0.72727272727272729</v>
      </c>
      <c r="H25" s="21">
        <f t="shared" si="3"/>
        <v>88039774343.41716</v>
      </c>
      <c r="I25" s="21">
        <f t="shared" si="4"/>
        <v>52823864606.050293</v>
      </c>
      <c r="J25" s="20">
        <f t="shared" si="6"/>
        <v>0.95000000000000007</v>
      </c>
      <c r="K25" s="28">
        <f t="shared" si="5"/>
        <v>50182671375.747787</v>
      </c>
    </row>
    <row r="26" spans="1:11" x14ac:dyDescent="0.25">
      <c r="D26" s="20">
        <v>0.62</v>
      </c>
      <c r="E26" s="20">
        <f t="shared" si="0"/>
        <v>0.38</v>
      </c>
      <c r="F26" s="20">
        <f t="shared" si="1"/>
        <v>0.55000000000000004</v>
      </c>
      <c r="G26">
        <f t="shared" si="2"/>
        <v>0.69090909090909081</v>
      </c>
      <c r="H26" s="21">
        <f t="shared" si="3"/>
        <v>86251838858.750778</v>
      </c>
      <c r="I26" s="21">
        <f t="shared" si="4"/>
        <v>53476140092.425484</v>
      </c>
      <c r="J26" s="20">
        <f t="shared" si="6"/>
        <v>0.94364725483563994</v>
      </c>
      <c r="K26" s="28">
        <f t="shared" si="5"/>
        <v>50462612797.423416</v>
      </c>
    </row>
    <row r="27" spans="1:11" x14ac:dyDescent="0.25">
      <c r="D27" s="20">
        <v>0.64</v>
      </c>
      <c r="E27" s="20">
        <f t="shared" si="0"/>
        <v>0.36</v>
      </c>
      <c r="F27" s="20">
        <f t="shared" si="1"/>
        <v>0.55000000000000004</v>
      </c>
      <c r="G27">
        <f t="shared" si="2"/>
        <v>0.65454545454545443</v>
      </c>
      <c r="H27" s="21">
        <f t="shared" si="3"/>
        <v>84406506281.79097</v>
      </c>
      <c r="I27" s="21">
        <f t="shared" si="4"/>
        <v>54020164020.346222</v>
      </c>
      <c r="J27" s="20">
        <f t="shared" si="6"/>
        <v>0.93654127861029024</v>
      </c>
      <c r="K27" s="28">
        <f t="shared" si="5"/>
        <v>50592113482.352654</v>
      </c>
    </row>
    <row r="28" spans="1:11" x14ac:dyDescent="0.25">
      <c r="D28" s="20">
        <v>0.66</v>
      </c>
      <c r="E28" s="20">
        <f t="shared" si="0"/>
        <v>0.33999999999999997</v>
      </c>
      <c r="F28" s="20">
        <f t="shared" si="1"/>
        <v>0.55000000000000004</v>
      </c>
      <c r="G28">
        <f t="shared" si="2"/>
        <v>0.61818181818181805</v>
      </c>
      <c r="H28" s="21">
        <f t="shared" si="3"/>
        <v>82498583355.23996</v>
      </c>
      <c r="I28" s="21">
        <f t="shared" si="4"/>
        <v>54449065014.458374</v>
      </c>
      <c r="J28" s="20">
        <f t="shared" si="6"/>
        <v>0.92860704396257909</v>
      </c>
      <c r="K28" s="28">
        <f t="shared" si="5"/>
        <v>50561785309.602478</v>
      </c>
    </row>
    <row r="29" spans="1:11" x14ac:dyDescent="0.25">
      <c r="D29" s="20">
        <v>0.68</v>
      </c>
      <c r="E29" s="20">
        <f t="shared" si="0"/>
        <v>0.31999999999999995</v>
      </c>
      <c r="F29" s="20">
        <f t="shared" si="1"/>
        <v>0.55000000000000004</v>
      </c>
      <c r="G29">
        <f t="shared" si="2"/>
        <v>0.58181818181818168</v>
      </c>
      <c r="H29" s="21">
        <f t="shared" si="3"/>
        <v>80522067155.572937</v>
      </c>
      <c r="I29" s="21">
        <f t="shared" si="4"/>
        <v>54755005665.789604</v>
      </c>
      <c r="J29" s="20">
        <f t="shared" si="6"/>
        <v>0.91976577991758479</v>
      </c>
      <c r="K29" s="28">
        <f t="shared" si="5"/>
        <v>50361780490.586754</v>
      </c>
    </row>
    <row r="30" spans="1:11" x14ac:dyDescent="0.25">
      <c r="D30" s="20">
        <v>0.7</v>
      </c>
      <c r="E30" s="20">
        <f t="shared" si="0"/>
        <v>0.30000000000000004</v>
      </c>
      <c r="F30" s="20">
        <f t="shared" si="1"/>
        <v>0.55000000000000004</v>
      </c>
      <c r="G30">
        <f t="shared" si="2"/>
        <v>0.54545454545454553</v>
      </c>
      <c r="H30" s="21">
        <f t="shared" si="3"/>
        <v>78469959071.673843</v>
      </c>
      <c r="I30" s="21">
        <f t="shared" si="4"/>
        <v>54928971350.171684</v>
      </c>
      <c r="J30" s="20">
        <f t="shared" si="6"/>
        <v>0.90993581106314148</v>
      </c>
      <c r="K30" s="28">
        <f t="shared" si="5"/>
        <v>49981838096.38253</v>
      </c>
    </row>
    <row r="31" spans="1:11" x14ac:dyDescent="0.25">
      <c r="D31" s="20">
        <v>0.72</v>
      </c>
      <c r="E31" s="20">
        <f t="shared" si="0"/>
        <v>0.28000000000000003</v>
      </c>
      <c r="F31" s="20">
        <f t="shared" si="1"/>
        <v>0.55000000000000004</v>
      </c>
      <c r="G31">
        <f t="shared" si="2"/>
        <v>0.50909090909090915</v>
      </c>
      <c r="H31" s="21">
        <f t="shared" si="3"/>
        <v>76334020418.793411</v>
      </c>
      <c r="I31" s="21">
        <f t="shared" si="4"/>
        <v>54960494701.531258</v>
      </c>
      <c r="J31" s="20">
        <f t="shared" si="6"/>
        <v>0.89903371833081824</v>
      </c>
      <c r="K31" s="28">
        <f t="shared" si="5"/>
        <v>49411337912.818871</v>
      </c>
    </row>
    <row r="32" spans="1:11" x14ac:dyDescent="0.25">
      <c r="D32" s="20">
        <v>0.74</v>
      </c>
      <c r="E32" s="20">
        <f t="shared" si="0"/>
        <v>0.26</v>
      </c>
      <c r="F32" s="20">
        <f t="shared" si="1"/>
        <v>0.55000000000000004</v>
      </c>
      <c r="G32">
        <f t="shared" si="2"/>
        <v>0.47272727272727272</v>
      </c>
      <c r="H32" s="21">
        <f t="shared" si="3"/>
        <v>74104445748.162155</v>
      </c>
      <c r="I32" s="21">
        <f t="shared" si="4"/>
        <v>54837289853.639992</v>
      </c>
      <c r="J32" s="20">
        <f t="shared" si="6"/>
        <v>0.88697586726083599</v>
      </c>
      <c r="K32" s="28">
        <f t="shared" si="5"/>
        <v>48639352726.166176</v>
      </c>
    </row>
    <row r="33" spans="4:11" x14ac:dyDescent="0.25">
      <c r="D33" s="20">
        <v>0.76</v>
      </c>
      <c r="E33" s="20">
        <f t="shared" si="0"/>
        <v>0.24</v>
      </c>
      <c r="F33" s="20">
        <f t="shared" si="1"/>
        <v>0.55000000000000004</v>
      </c>
      <c r="G33">
        <f t="shared" si="2"/>
        <v>0.43636363636363629</v>
      </c>
      <c r="H33" s="21">
        <f t="shared" si="3"/>
        <v>71769417416.013962</v>
      </c>
      <c r="I33" s="21">
        <f t="shared" si="4"/>
        <v>54544757236.170609</v>
      </c>
      <c r="J33" s="20">
        <f t="shared" si="6"/>
        <v>0.87368034209081513</v>
      </c>
      <c r="K33" s="28">
        <f t="shared" si="5"/>
        <v>47654682161.358002</v>
      </c>
    </row>
    <row r="34" spans="4:11" x14ac:dyDescent="0.25">
      <c r="D34" s="20">
        <v>0.78</v>
      </c>
      <c r="E34" s="20">
        <f t="shared" si="0"/>
        <v>0.21999999999999997</v>
      </c>
      <c r="F34" s="20">
        <f t="shared" si="1"/>
        <v>0.55000000000000004</v>
      </c>
      <c r="G34">
        <f t="shared" si="2"/>
        <v>0.39999999999999991</v>
      </c>
      <c r="H34" s="21">
        <f t="shared" si="3"/>
        <v>69314484315.514633</v>
      </c>
      <c r="I34" s="21">
        <f t="shared" si="4"/>
        <v>54065297766.101418</v>
      </c>
      <c r="J34" s="20">
        <f t="shared" si="6"/>
        <v>0.85906931001187892</v>
      </c>
      <c r="K34" s="28">
        <f t="shared" si="5"/>
        <v>46445838047.51152</v>
      </c>
    </row>
    <row r="35" spans="4:11" x14ac:dyDescent="0.25">
      <c r="D35" s="20">
        <v>0.8</v>
      </c>
      <c r="E35" s="20">
        <f t="shared" si="0"/>
        <v>0.19999999999999996</v>
      </c>
      <c r="F35" s="20">
        <f t="shared" si="1"/>
        <v>0.55000000000000004</v>
      </c>
      <c r="G35">
        <f t="shared" si="2"/>
        <v>0.36363636363636354</v>
      </c>
      <c r="H35" s="21">
        <f t="shared" si="3"/>
        <v>66721672242.077232</v>
      </c>
      <c r="I35" s="21">
        <f t="shared" si="4"/>
        <v>53377337793.661789</v>
      </c>
      <c r="J35" s="20">
        <f t="shared" si="6"/>
        <v>0.84307181809409204</v>
      </c>
      <c r="K35" s="28">
        <f t="shared" si="5"/>
        <v>45000929218.724937</v>
      </c>
    </row>
    <row r="36" spans="4:11" x14ac:dyDescent="0.25">
      <c r="D36" s="20">
        <v>0.82</v>
      </c>
      <c r="E36" s="20">
        <f t="shared" si="0"/>
        <v>0.18000000000000005</v>
      </c>
      <c r="F36" s="20">
        <f t="shared" si="1"/>
        <v>0.55000000000000004</v>
      </c>
      <c r="G36">
        <f t="shared" si="2"/>
        <v>0.32727272727272733</v>
      </c>
      <c r="H36" s="21">
        <f t="shared" si="3"/>
        <v>63968169946.287292</v>
      </c>
      <c r="I36" s="21">
        <f t="shared" si="4"/>
        <v>52453899355.955574</v>
      </c>
      <c r="J36" s="20">
        <f t="shared" si="6"/>
        <v>0.82562699472262557</v>
      </c>
      <c r="K36" s="28">
        <f t="shared" si="5"/>
        <v>43307355286.740669</v>
      </c>
    </row>
    <row r="37" spans="4:11" x14ac:dyDescent="0.25">
      <c r="D37" s="20">
        <v>0.84</v>
      </c>
      <c r="E37" s="20">
        <f t="shared" si="0"/>
        <v>0.16000000000000003</v>
      </c>
      <c r="F37" s="20">
        <f t="shared" si="1"/>
        <v>0.55000000000000004</v>
      </c>
      <c r="G37">
        <f t="shared" si="2"/>
        <v>0.29090909090909095</v>
      </c>
      <c r="H37" s="21">
        <f t="shared" si="3"/>
        <v>61024315578.682365</v>
      </c>
      <c r="I37" s="21">
        <f t="shared" si="4"/>
        <v>51260425086.093185</v>
      </c>
      <c r="J37" s="20">
        <f t="shared" si="6"/>
        <v>0.8066875877498626</v>
      </c>
      <c r="K37" s="28">
        <f t="shared" si="5"/>
        <v>41351148659.733055</v>
      </c>
    </row>
    <row r="38" spans="4:11" x14ac:dyDescent="0.25">
      <c r="D38" s="20">
        <v>0.86</v>
      </c>
      <c r="E38" s="20">
        <f t="shared" si="0"/>
        <v>0.14000000000000001</v>
      </c>
      <c r="F38" s="20">
        <f t="shared" si="1"/>
        <v>0.55000000000000004</v>
      </c>
      <c r="G38">
        <f t="shared" si="2"/>
        <v>0.25454545454545457</v>
      </c>
      <c r="H38" s="21">
        <f t="shared" si="3"/>
        <v>57850369668.554092</v>
      </c>
      <c r="I38" s="21">
        <f t="shared" si="4"/>
        <v>49751317914.95652</v>
      </c>
      <c r="J38" s="20">
        <f t="shared" si="6"/>
        <v>0.78622372408732766</v>
      </c>
      <c r="K38" s="28">
        <f t="shared" si="5"/>
        <v>39115666449.349693</v>
      </c>
    </row>
    <row r="39" spans="4:11" x14ac:dyDescent="0.25">
      <c r="D39" s="20">
        <v>0.88</v>
      </c>
      <c r="E39" s="20">
        <f t="shared" si="0"/>
        <v>0.12</v>
      </c>
      <c r="F39" s="20">
        <f t="shared" si="1"/>
        <v>0.55000000000000004</v>
      </c>
      <c r="G39">
        <f t="shared" si="2"/>
        <v>0.21818181818181814</v>
      </c>
      <c r="H39" s="21">
        <f t="shared" si="3"/>
        <v>54391047473.126122</v>
      </c>
      <c r="I39" s="21">
        <f t="shared" si="4"/>
        <v>47864121776.35099</v>
      </c>
      <c r="J39" s="20">
        <f t="shared" si="6"/>
        <v>0.76422672301138683</v>
      </c>
      <c r="K39" s="28">
        <f t="shared" si="5"/>
        <v>36579040934.958672</v>
      </c>
    </row>
    <row r="40" spans="4:11" x14ac:dyDescent="0.25">
      <c r="D40" s="20">
        <v>0.9</v>
      </c>
      <c r="E40" s="20">
        <f t="shared" si="0"/>
        <v>9.9999999999999978E-2</v>
      </c>
      <c r="F40" s="20">
        <f t="shared" si="1"/>
        <v>0.55000000000000004</v>
      </c>
      <c r="G40">
        <f t="shared" si="2"/>
        <v>0.18181818181818177</v>
      </c>
      <c r="H40" s="21">
        <f t="shared" si="3"/>
        <v>50565571981.296722</v>
      </c>
      <c r="I40" s="21">
        <f t="shared" si="4"/>
        <v>45509014783.167053</v>
      </c>
      <c r="J40" s="20">
        <f t="shared" si="6"/>
        <v>0.74071274298056133</v>
      </c>
      <c r="K40" s="28">
        <f t="shared" si="5"/>
        <v>33709107170.38258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F5866-8E46-4CAE-A792-5DB2BA9850CF}">
  <dimension ref="A5:X102"/>
  <sheetViews>
    <sheetView tabSelected="1" zoomScale="85" zoomScaleNormal="85" workbookViewId="0">
      <selection activeCell="C6" sqref="C6"/>
    </sheetView>
  </sheetViews>
  <sheetFormatPr defaultRowHeight="15" x14ac:dyDescent="0.25"/>
  <cols>
    <col min="1" max="1" width="10.140625" bestFit="1" customWidth="1"/>
    <col min="2" max="2" width="24.5703125" bestFit="1" customWidth="1"/>
    <col min="3" max="3" width="54" bestFit="1" customWidth="1"/>
    <col min="4" max="4" width="6.7109375" bestFit="1" customWidth="1"/>
    <col min="5" max="5" width="21" bestFit="1" customWidth="1"/>
    <col min="6" max="6" width="26" bestFit="1" customWidth="1"/>
    <col min="7" max="7" width="21" bestFit="1" customWidth="1"/>
    <col min="8" max="8" width="20.42578125" customWidth="1"/>
    <col min="9" max="9" width="20.140625" bestFit="1" customWidth="1"/>
    <col min="10" max="10" width="9.28515625" bestFit="1" customWidth="1"/>
    <col min="13" max="13" width="17.5703125" customWidth="1"/>
    <col min="14" max="14" width="17.42578125" customWidth="1"/>
    <col min="15" max="15" width="11.140625" bestFit="1" customWidth="1"/>
    <col min="16" max="16" width="19.85546875" customWidth="1"/>
    <col min="18" max="18" width="11" customWidth="1"/>
    <col min="20" max="20" width="20.140625" bestFit="1" customWidth="1"/>
    <col min="21" max="21" width="18.28515625" bestFit="1" customWidth="1"/>
    <col min="22" max="22" width="27.28515625" bestFit="1" customWidth="1"/>
    <col min="23" max="23" width="23.7109375" bestFit="1" customWidth="1"/>
    <col min="24" max="24" width="12.28515625" bestFit="1" customWidth="1"/>
  </cols>
  <sheetData>
    <row r="5" spans="1:24" ht="15.75" x14ac:dyDescent="0.25">
      <c r="A5" s="29" t="s">
        <v>74</v>
      </c>
      <c r="B5" s="29" t="s">
        <v>75</v>
      </c>
      <c r="C5" s="29" t="s">
        <v>81</v>
      </c>
      <c r="D5" s="29" t="s">
        <v>76</v>
      </c>
      <c r="E5" s="29" t="s">
        <v>77</v>
      </c>
      <c r="F5" s="29" t="s">
        <v>78</v>
      </c>
      <c r="G5" s="29" t="s">
        <v>79</v>
      </c>
      <c r="H5" s="29" t="s">
        <v>65</v>
      </c>
      <c r="I5" s="29" t="s">
        <v>66</v>
      </c>
      <c r="J5" s="29" t="s">
        <v>84</v>
      </c>
      <c r="K5" s="29" t="s">
        <v>85</v>
      </c>
      <c r="L5" s="29" t="s">
        <v>86</v>
      </c>
      <c r="M5" s="1" t="s">
        <v>87</v>
      </c>
      <c r="N5" s="1" t="s">
        <v>88</v>
      </c>
      <c r="O5" s="1" t="s">
        <v>89</v>
      </c>
      <c r="P5" s="1" t="s">
        <v>90</v>
      </c>
      <c r="T5" s="1" t="s">
        <v>92</v>
      </c>
      <c r="U5" s="1" t="s">
        <v>93</v>
      </c>
      <c r="V5" s="1" t="s">
        <v>94</v>
      </c>
      <c r="W5" s="1" t="s">
        <v>95</v>
      </c>
      <c r="X5">
        <f>MAX(U6:U32)</f>
        <v>3743425716.4903846</v>
      </c>
    </row>
    <row r="6" spans="1:24" x14ac:dyDescent="0.25">
      <c r="A6" t="s">
        <v>80</v>
      </c>
      <c r="B6" s="20">
        <v>0.2</v>
      </c>
      <c r="C6">
        <v>1000000000</v>
      </c>
      <c r="D6">
        <v>0.1</v>
      </c>
      <c r="E6" s="20">
        <v>0.99</v>
      </c>
      <c r="F6" s="20">
        <v>0.3</v>
      </c>
      <c r="G6" s="20">
        <v>0.97</v>
      </c>
      <c r="H6" s="10">
        <f>(LN((1-G6)/G6) - LN((1-E6)/E6)) / (F6 - B6)</f>
        <v>11.190211602993168</v>
      </c>
      <c r="I6" s="10">
        <f>LN((1-E6)/E6) - H6*B6</f>
        <v>-6.8331621707332229</v>
      </c>
      <c r="J6" s="20">
        <f>B6</f>
        <v>0.2</v>
      </c>
      <c r="K6" s="20">
        <f>1-J6</f>
        <v>0.8</v>
      </c>
      <c r="L6" s="20">
        <f>1-B6</f>
        <v>0.8</v>
      </c>
      <c r="M6" s="20">
        <f>K6/L6</f>
        <v>1</v>
      </c>
      <c r="N6">
        <f>C6 * POWER(M6, D6)</f>
        <v>1000000000</v>
      </c>
      <c r="O6">
        <f>1/(1+EXP(I6 + H6*J6))</f>
        <v>0.99</v>
      </c>
      <c r="P6">
        <f>J6 * O6 * N6</f>
        <v>198000000</v>
      </c>
      <c r="T6">
        <v>0.3</v>
      </c>
      <c r="U6">
        <f xml:space="preserve"> $P$6 + $P$7 + V6</f>
        <v>3105924026.6006889</v>
      </c>
      <c r="V6">
        <f xml:space="preserve"> T6
  * ( 1/(1+EXP($I$8 + $H$8*T6)) )
  * ( $C$8 * POWER( ( (1-T6) / (1-$B$8) ), $D$8 ) )</f>
        <v>1719924026.6006892</v>
      </c>
      <c r="W6" s="1" t="s">
        <v>96</v>
      </c>
      <c r="X6" s="20">
        <f>INDEX(T6:T32, MATCH(X5, U6:U32, 0))</f>
        <v>0.57999999999999996</v>
      </c>
    </row>
    <row r="7" spans="1:24" x14ac:dyDescent="0.25">
      <c r="A7" t="s">
        <v>82</v>
      </c>
      <c r="B7" s="20">
        <v>0.4</v>
      </c>
      <c r="C7">
        <v>3000000000</v>
      </c>
      <c r="D7">
        <v>0.5</v>
      </c>
      <c r="E7" s="20">
        <v>0.99</v>
      </c>
      <c r="F7" s="20">
        <v>0.45</v>
      </c>
      <c r="G7" s="20">
        <v>0.98499999999999999</v>
      </c>
      <c r="H7" s="10">
        <f t="shared" ref="H7:H8" si="0">(LN((1-G7)/G7) - LN((1-E7)/E7)) / (F7 - B7)</f>
        <v>8.2105682012942278</v>
      </c>
      <c r="I7" s="10">
        <f t="shared" ref="I7:I8" si="1">LN((1-E7)/E7) - H7*B7</f>
        <v>-7.8793471306522802</v>
      </c>
      <c r="J7" s="20">
        <f t="shared" ref="J7:J8" si="2">B7</f>
        <v>0.4</v>
      </c>
      <c r="K7" s="20">
        <f t="shared" ref="K7:K8" si="3">1-J7</f>
        <v>0.6</v>
      </c>
      <c r="L7" s="20">
        <f t="shared" ref="L7:L8" si="4">1-B7</f>
        <v>0.6</v>
      </c>
      <c r="M7" s="20">
        <f t="shared" ref="M7:M8" si="5">K7/L7</f>
        <v>1</v>
      </c>
      <c r="N7">
        <f t="shared" ref="N7:N8" si="6">C7 * POWER(M7, D7)</f>
        <v>3000000000</v>
      </c>
      <c r="O7">
        <f t="shared" ref="O7:O8" si="7">1/(1+EXP(I7 + H7*J7))</f>
        <v>0.99</v>
      </c>
      <c r="P7">
        <f t="shared" ref="P7:P8" si="8">J7 * O7 * N7</f>
        <v>1188000000</v>
      </c>
      <c r="T7">
        <v>0.32</v>
      </c>
      <c r="U7">
        <f t="shared" ref="U7:U14" si="9" xml:space="preserve"> $P$6 + $P$7 + V7</f>
        <v>3187049529.8292265</v>
      </c>
      <c r="V7">
        <f t="shared" ref="V7:V14" si="10" xml:space="preserve"> T7
  * ( 1/(1+EXP($I$8 + $H$8*T7)) )
  * ( $C$8 * POWER( ( (1-T7) / (1-$B$8) ), $D$8 ) )</f>
        <v>1801049529.8292265</v>
      </c>
    </row>
    <row r="8" spans="1:24" x14ac:dyDescent="0.25">
      <c r="A8" t="s">
        <v>83</v>
      </c>
      <c r="B8" s="20">
        <v>0.45</v>
      </c>
      <c r="C8">
        <v>5000000000</v>
      </c>
      <c r="D8">
        <v>0.6</v>
      </c>
      <c r="E8" s="20">
        <v>0.98</v>
      </c>
      <c r="F8" s="20">
        <v>0.6</v>
      </c>
      <c r="G8" s="20">
        <v>0.95</v>
      </c>
      <c r="H8" s="10">
        <f t="shared" si="0"/>
        <v>6.3158754596279092</v>
      </c>
      <c r="I8" s="10">
        <f t="shared" si="1"/>
        <v>-6.7339642549431851</v>
      </c>
      <c r="J8" s="20">
        <f t="shared" si="2"/>
        <v>0.45</v>
      </c>
      <c r="K8" s="20">
        <f t="shared" si="3"/>
        <v>0.55000000000000004</v>
      </c>
      <c r="L8" s="20">
        <f t="shared" si="4"/>
        <v>0.55000000000000004</v>
      </c>
      <c r="M8" s="20">
        <f t="shared" si="5"/>
        <v>1</v>
      </c>
      <c r="N8">
        <f t="shared" si="6"/>
        <v>5000000000</v>
      </c>
      <c r="O8">
        <f t="shared" si="7"/>
        <v>0.98</v>
      </c>
      <c r="P8">
        <f t="shared" si="8"/>
        <v>2205000000</v>
      </c>
      <c r="T8">
        <v>0.34</v>
      </c>
      <c r="U8">
        <f t="shared" si="9"/>
        <v>3263394579.3966055</v>
      </c>
      <c r="V8">
        <f t="shared" si="10"/>
        <v>1877394579.3966057</v>
      </c>
    </row>
    <row r="9" spans="1:24" x14ac:dyDescent="0.25">
      <c r="Q9" s="1" t="s">
        <v>91</v>
      </c>
      <c r="R9">
        <f>SUM(P6:P8)</f>
        <v>3591000000</v>
      </c>
      <c r="T9">
        <v>0.36</v>
      </c>
      <c r="U9">
        <f t="shared" si="9"/>
        <v>3334818751.5397882</v>
      </c>
      <c r="V9">
        <f t="shared" si="10"/>
        <v>1948818751.5397882</v>
      </c>
    </row>
    <row r="10" spans="1:24" x14ac:dyDescent="0.25">
      <c r="T10">
        <v>0.38</v>
      </c>
      <c r="U10">
        <f t="shared" si="9"/>
        <v>3401170877.6100731</v>
      </c>
      <c r="V10">
        <f t="shared" si="10"/>
        <v>2015170877.6100731</v>
      </c>
    </row>
    <row r="11" spans="1:24" x14ac:dyDescent="0.25">
      <c r="T11">
        <v>0.4</v>
      </c>
      <c r="U11">
        <f t="shared" si="9"/>
        <v>3462288285.9317904</v>
      </c>
      <c r="V11">
        <f t="shared" si="10"/>
        <v>2076288285.9317906</v>
      </c>
    </row>
    <row r="12" spans="1:24" x14ac:dyDescent="0.25">
      <c r="T12">
        <v>0.42</v>
      </c>
      <c r="U12">
        <f t="shared" si="9"/>
        <v>3517996059.2341013</v>
      </c>
      <c r="V12">
        <f t="shared" si="10"/>
        <v>2131996059.2341013</v>
      </c>
    </row>
    <row r="13" spans="1:24" x14ac:dyDescent="0.25">
      <c r="T13">
        <v>0.44</v>
      </c>
      <c r="U13">
        <f t="shared" si="9"/>
        <v>3568106332.0953426</v>
      </c>
      <c r="V13">
        <f t="shared" si="10"/>
        <v>2182106332.0953426</v>
      </c>
    </row>
    <row r="14" spans="1:24" x14ac:dyDescent="0.25">
      <c r="T14">
        <v>0.45</v>
      </c>
      <c r="U14">
        <f t="shared" si="9"/>
        <v>3591000000</v>
      </c>
      <c r="V14">
        <f t="shared" si="10"/>
        <v>2205000000</v>
      </c>
    </row>
    <row r="15" spans="1:24" x14ac:dyDescent="0.25">
      <c r="T15">
        <v>0.46</v>
      </c>
      <c r="U15">
        <f xml:space="preserve"> $P$6 + $P$7 + V15</f>
        <v>3612417659.740283</v>
      </c>
      <c r="V15">
        <f xml:space="preserve"> T15
  * ( 1/(1+EXP($I$8 + $H$8*T15)) )
  * ( $C$8 * POWER( ( (1-T15) / (1-$B$8) ), $D$8 ) )</f>
        <v>2226417659.740283</v>
      </c>
    </row>
    <row r="16" spans="1:24" x14ac:dyDescent="0.25">
      <c r="T16">
        <v>0.48</v>
      </c>
      <c r="U16">
        <f xml:space="preserve"> $P$6 + $P$7 + V16</f>
        <v>3650714497.5882044</v>
      </c>
      <c r="V16">
        <f xml:space="preserve"> T16
  * ( 1/(1+EXP($I$8 + $H$8*T16)) )
  * ( $C$8 * POWER( ( (1-T16) / (1-$B$8) ), $D$8 ) )</f>
        <v>2264714497.5882044</v>
      </c>
    </row>
    <row r="17" spans="20:22" x14ac:dyDescent="0.25">
      <c r="T17">
        <v>0.5</v>
      </c>
      <c r="U17">
        <f xml:space="preserve"> $P$6 + $P$7 + V17</f>
        <v>3682766840.1415548</v>
      </c>
      <c r="V17">
        <f xml:space="preserve"> T17
  * ( 1/(1+EXP($I$8 + $H$8*T17)) )
  * ( $C$8 * POWER( ( (1-T17) / (1-$B$8) ), $D$8 ) )</f>
        <v>2296766840.1415548</v>
      </c>
    </row>
    <row r="18" spans="20:22" x14ac:dyDescent="0.25">
      <c r="T18">
        <v>0.52</v>
      </c>
      <c r="U18">
        <f xml:space="preserve"> $P$6 + $P$7 + V18</f>
        <v>3708330077.9844289</v>
      </c>
      <c r="V18">
        <f xml:space="preserve"> T18
  * ( 1/(1+EXP($I$8 + $H$8*T18)) )
  * ( $C$8 * POWER( ( (1-T18) / (1-$B$8) ), $D$8 ) )</f>
        <v>2322330077.9844289</v>
      </c>
    </row>
    <row r="19" spans="20:22" x14ac:dyDescent="0.25">
      <c r="T19">
        <v>0.54</v>
      </c>
      <c r="U19">
        <f xml:space="preserve"> $P$6 + $P$7 + V19</f>
        <v>3727145142.4881124</v>
      </c>
      <c r="V19">
        <f xml:space="preserve"> T19
  * ( 1/(1+EXP($I$8 + $H$8*T19)) )
  * ( $C$8 * POWER( ( (1-T19) / (1-$B$8) ), $D$8 ) )</f>
        <v>2341145142.4881124</v>
      </c>
    </row>
    <row r="20" spans="20:22" x14ac:dyDescent="0.25">
      <c r="T20">
        <v>0.56000000000000005</v>
      </c>
      <c r="U20">
        <f xml:space="preserve"> $P$6 + $P$7 + V20</f>
        <v>3738939018.6710372</v>
      </c>
      <c r="V20">
        <f xml:space="preserve"> T20
  * ( 1/(1+EXP($I$8 + $H$8*T20)) )
  * ( $C$8 * POWER( ( (1-T20) / (1-$B$8) ), $D$8 ) )</f>
        <v>2352939018.6710372</v>
      </c>
    </row>
    <row r="21" spans="20:22" x14ac:dyDescent="0.25">
      <c r="T21">
        <v>0.57999999999999996</v>
      </c>
      <c r="U21">
        <f xml:space="preserve"> $P$6 + $P$7 + V21</f>
        <v>3743425716.4903846</v>
      </c>
      <c r="V21">
        <f xml:space="preserve"> T21
  * ( 1/(1+EXP($I$8 + $H$8*T21)) )
  * ( $C$8 * POWER( ( (1-T21) / (1-$B$8) ), $D$8 ) )</f>
        <v>2357425716.4903846</v>
      </c>
    </row>
    <row r="22" spans="20:22" x14ac:dyDescent="0.25">
      <c r="T22">
        <v>0.6</v>
      </c>
      <c r="U22">
        <f xml:space="preserve"> $P$6 + $P$7 + V22</f>
        <v>3740307798.0211263</v>
      </c>
      <c r="V22">
        <f xml:space="preserve"> T22
  * ( 1/(1+EXP($I$8 + $H$8*T22)) )
  * ( $C$8 * POWER( ( (1-T22) / (1-$B$8) ), $D$8 ) )</f>
        <v>2354307798.0211263</v>
      </c>
    </row>
    <row r="23" spans="20:22" x14ac:dyDescent="0.25">
      <c r="T23">
        <v>0.62</v>
      </c>
      <c r="U23">
        <f xml:space="preserve"> $P$6 + $P$7 + V23</f>
        <v>3729278560.0544143</v>
      </c>
      <c r="V23">
        <f xml:space="preserve"> T23
  * ( 1/(1+EXP($I$8 + $H$8*T23)) )
  * ( $C$8 * POWER( ( (1-T23) / (1-$B$8) ), $D$8 ) )</f>
        <v>2343278560.0544143</v>
      </c>
    </row>
    <row r="24" spans="20:22" x14ac:dyDescent="0.25">
      <c r="T24">
        <v>0.64</v>
      </c>
      <c r="U24">
        <f xml:space="preserve"> $P$6 + $P$7 + V24</f>
        <v>3710024965.0405846</v>
      </c>
      <c r="V24">
        <f xml:space="preserve"> T24
  * ( 1/(1+EXP($I$8 + $H$8*T24)) )
  * ( $C$8 * POWER( ( (1-T24) / (1-$B$8) ), $D$8 ) )</f>
        <v>2324024965.0405846</v>
      </c>
    </row>
    <row r="25" spans="20:22" x14ac:dyDescent="0.25">
      <c r="T25">
        <v>0.66</v>
      </c>
      <c r="U25">
        <f xml:space="preserve"> $P$6 + $P$7 + V25</f>
        <v>3682231392.8792324</v>
      </c>
      <c r="V25">
        <f xml:space="preserve"> T25
  * ( 1/(1+EXP($I$8 + $H$8*T25)) )
  * ( $C$8 * POWER( ( (1-T25) / (1-$B$8) ), $D$8 ) )</f>
        <v>2296231392.8792324</v>
      </c>
    </row>
    <row r="26" spans="20:22" x14ac:dyDescent="0.25">
      <c r="T26">
        <v>0.68</v>
      </c>
      <c r="U26">
        <f xml:space="preserve"> $P$6 + $P$7 + V26</f>
        <v>3645584244.5319791</v>
      </c>
      <c r="V26">
        <f xml:space="preserve"> T26
  * ( 1/(1+EXP($I$8 + $H$8*T26)) )
  * ( $C$8 * POWER( ( (1-T26) / (1-$B$8) ), $D$8 ) )</f>
        <v>2259584244.5319791</v>
      </c>
    </row>
    <row r="27" spans="20:22" x14ac:dyDescent="0.25">
      <c r="T27">
        <v>0.7</v>
      </c>
      <c r="U27">
        <f xml:space="preserve"> $P$6 + $P$7 + V27</f>
        <v>3599777355.446569</v>
      </c>
      <c r="V27">
        <f xml:space="preserve"> T27
  * ( 1/(1+EXP($I$8 + $H$8*T27)) )
  * ( $C$8 * POWER( ( (1-T27) / (1-$B$8) ), $D$8 ) )</f>
        <v>2213777355.446569</v>
      </c>
    </row>
    <row r="28" spans="20:22" x14ac:dyDescent="0.25">
      <c r="T28">
        <v>0.72</v>
      </c>
      <c r="U28">
        <f xml:space="preserve"> $P$6 + $P$7 + V28</f>
        <v>3544518057.4094853</v>
      </c>
      <c r="V28">
        <f xml:space="preserve"> T28
  * ( 1/(1+EXP($I$8 + $H$8*T28)) )
  * ( $C$8 * POWER( ( (1-T28) / (1-$B$8) ), $D$8 ) )</f>
        <v>2158518057.4094853</v>
      </c>
    </row>
    <row r="29" spans="20:22" x14ac:dyDescent="0.25">
      <c r="T29">
        <v>0.74</v>
      </c>
      <c r="U29">
        <f xml:space="preserve"> $P$6 + $P$7 + V29</f>
        <v>3479533539.5142994</v>
      </c>
      <c r="V29">
        <f xml:space="preserve"> T29
  * ( 1/(1+EXP($I$8 + $H$8*T29)) )
  * ( $C$8 * POWER( ( (1-T29) / (1-$B$8) ), $D$8 ) )</f>
        <v>2093533539.5142994</v>
      </c>
    </row>
    <row r="30" spans="20:22" x14ac:dyDescent="0.25">
      <c r="T30">
        <v>0.76</v>
      </c>
      <c r="U30">
        <f xml:space="preserve"> $P$6 + $P$7 + V30</f>
        <v>3404576867.8604412</v>
      </c>
      <c r="V30">
        <f xml:space="preserve"> T30
  * ( 1/(1+EXP($I$8 + $H$8*T30)) )
  * ( $C$8 * POWER( ( (1-T30) / (1-$B$8) ), $D$8 ) )</f>
        <v>2018576867.860441</v>
      </c>
    </row>
    <row r="31" spans="20:22" x14ac:dyDescent="0.25">
      <c r="T31">
        <v>0.78</v>
      </c>
      <c r="U31">
        <f xml:space="preserve"> $P$6 + $P$7 + V31</f>
        <v>3319431571.8461828</v>
      </c>
      <c r="V31">
        <f xml:space="preserve"> T31
  * ( 1/(1+EXP($I$8 + $H$8*T31)) )
  * ( $C$8 * POWER( ( (1-T31) / (1-$B$8) ), $D$8 ) )</f>
        <v>1933431571.8461831</v>
      </c>
    </row>
    <row r="32" spans="20:22" x14ac:dyDescent="0.25">
      <c r="T32">
        <v>0.8</v>
      </c>
      <c r="U32">
        <f xml:space="preserve"> $P$6 + $P$7 + V32</f>
        <v>3223912989.3731756</v>
      </c>
      <c r="V32">
        <f xml:space="preserve"> T32
  * ( 1/(1+EXP($I$8 + $H$8*T32)) )
  * ( $C$8 * POWER( ( (1-T32) / (1-$B$8) ), $D$8 ) )</f>
        <v>1837912989.3731756</v>
      </c>
    </row>
    <row r="36" spans="20:24" x14ac:dyDescent="0.25">
      <c r="T36" s="1" t="s">
        <v>97</v>
      </c>
      <c r="U36" s="1" t="s">
        <v>98</v>
      </c>
      <c r="V36" s="1" t="s">
        <v>99</v>
      </c>
      <c r="W36" s="1" t="s">
        <v>103</v>
      </c>
      <c r="X36">
        <f>MAX(U37:U62)</f>
        <v>3799804935.1492033</v>
      </c>
    </row>
    <row r="37" spans="20:24" x14ac:dyDescent="0.25">
      <c r="T37">
        <v>0.3</v>
      </c>
      <c r="U37">
        <f xml:space="preserve"> $P$6 + V37 + $P$8</f>
        <v>3370810054.7851572</v>
      </c>
      <c r="V37">
        <f xml:space="preserve"> T37
  * ( 1/(1+EXP($I$7 + $H$7*T37)) )
  * ( $C$7 * POWER( ( (1-T37) / (1-$B$7) ), $D$7 ) )</f>
        <v>967810054.78515708</v>
      </c>
      <c r="W37" s="1" t="s">
        <v>104</v>
      </c>
      <c r="X37" s="20">
        <f>INDEX(T37:T62, MATCH(X36, U37:U62, 0))</f>
        <v>0.6</v>
      </c>
    </row>
    <row r="38" spans="20:24" x14ac:dyDescent="0.25">
      <c r="T38">
        <v>0.32</v>
      </c>
      <c r="U38">
        <f t="shared" ref="U38:U62" si="11" xml:space="preserve"> $P$6 + V38 + $P$8</f>
        <v>3419673504.7666106</v>
      </c>
      <c r="V38">
        <f t="shared" ref="V38:V62" si="12" xml:space="preserve"> T38
  * ( 1/(1+EXP($I$7 + $H$7*T38)) )
  * ( $C$7 * POWER( ( (1-T38) / (1-$B$7) ), $D$7 ) )</f>
        <v>1016673504.7666105</v>
      </c>
    </row>
    <row r="39" spans="20:24" x14ac:dyDescent="0.25">
      <c r="T39">
        <v>0.34</v>
      </c>
      <c r="U39">
        <f t="shared" si="11"/>
        <v>3466222954.7839885</v>
      </c>
      <c r="V39">
        <f t="shared" si="12"/>
        <v>1063222954.7839885</v>
      </c>
    </row>
    <row r="40" spans="20:24" x14ac:dyDescent="0.25">
      <c r="T40">
        <v>0.36</v>
      </c>
      <c r="U40">
        <f t="shared" si="11"/>
        <v>3510364985.085041</v>
      </c>
      <c r="V40">
        <f t="shared" si="12"/>
        <v>1107364985.085041</v>
      </c>
    </row>
    <row r="41" spans="20:24" x14ac:dyDescent="0.25">
      <c r="T41">
        <v>0.38</v>
      </c>
      <c r="U41">
        <f t="shared" si="11"/>
        <v>3551995818.1615214</v>
      </c>
      <c r="V41">
        <f t="shared" si="12"/>
        <v>1148995818.1615214</v>
      </c>
    </row>
    <row r="42" spans="20:24" x14ac:dyDescent="0.25">
      <c r="T42">
        <v>0.4</v>
      </c>
      <c r="U42">
        <f t="shared" si="11"/>
        <v>3591000000</v>
      </c>
      <c r="V42">
        <f t="shared" si="12"/>
        <v>1188000000</v>
      </c>
    </row>
    <row r="43" spans="20:24" x14ac:dyDescent="0.25">
      <c r="T43">
        <v>0.42</v>
      </c>
      <c r="U43">
        <f t="shared" si="11"/>
        <v>3627248964.9008541</v>
      </c>
      <c r="V43">
        <f t="shared" si="12"/>
        <v>1224248964.9008539</v>
      </c>
    </row>
    <row r="44" spans="20:24" x14ac:dyDescent="0.25">
      <c r="T44">
        <v>0.44</v>
      </c>
      <c r="U44">
        <f t="shared" si="11"/>
        <v>3660599498.0747509</v>
      </c>
      <c r="V44">
        <f t="shared" si="12"/>
        <v>1257599498.0747509</v>
      </c>
    </row>
    <row r="45" spans="20:24" x14ac:dyDescent="0.25">
      <c r="T45">
        <v>0.46</v>
      </c>
      <c r="U45">
        <f t="shared" si="11"/>
        <v>3690892122.885416</v>
      </c>
      <c r="V45">
        <f t="shared" si="12"/>
        <v>1287892122.885416</v>
      </c>
    </row>
    <row r="46" spans="20:24" x14ac:dyDescent="0.25">
      <c r="T46">
        <v>0.48</v>
      </c>
      <c r="U46">
        <f t="shared" si="11"/>
        <v>3717949457.0396852</v>
      </c>
      <c r="V46">
        <f t="shared" si="12"/>
        <v>1314949457.0396855</v>
      </c>
    </row>
    <row r="47" spans="20:24" x14ac:dyDescent="0.25">
      <c r="T47">
        <v>0.5</v>
      </c>
      <c r="U47">
        <f t="shared" si="11"/>
        <v>3741574605.4293451</v>
      </c>
      <c r="V47">
        <f t="shared" si="12"/>
        <v>1338574605.4293449</v>
      </c>
    </row>
    <row r="48" spans="20:24" x14ac:dyDescent="0.25">
      <c r="T48">
        <v>0.52</v>
      </c>
      <c r="U48">
        <f t="shared" si="11"/>
        <v>3761549687.9713507</v>
      </c>
      <c r="V48">
        <f t="shared" si="12"/>
        <v>1358549687.9713507</v>
      </c>
    </row>
    <row r="49" spans="20:22" x14ac:dyDescent="0.25">
      <c r="T49">
        <v>0.54</v>
      </c>
      <c r="U49">
        <f t="shared" si="11"/>
        <v>3777634639.8534555</v>
      </c>
      <c r="V49">
        <f t="shared" si="12"/>
        <v>1374634639.8534553</v>
      </c>
    </row>
    <row r="50" spans="20:22" x14ac:dyDescent="0.25">
      <c r="T50">
        <v>0.56000000000000005</v>
      </c>
      <c r="U50">
        <f t="shared" si="11"/>
        <v>3789566469.8813782</v>
      </c>
      <c r="V50">
        <f t="shared" si="12"/>
        <v>1386566469.8813782</v>
      </c>
    </row>
    <row r="51" spans="20:22" x14ac:dyDescent="0.25">
      <c r="T51">
        <v>0.57999999999999996</v>
      </c>
      <c r="U51">
        <f t="shared" si="11"/>
        <v>3797059220.1190028</v>
      </c>
      <c r="V51">
        <f t="shared" si="12"/>
        <v>1394059220.1190028</v>
      </c>
    </row>
    <row r="52" spans="20:22" x14ac:dyDescent="0.25">
      <c r="T52">
        <v>0.6</v>
      </c>
      <c r="U52">
        <f t="shared" si="11"/>
        <v>3799804935.1492033</v>
      </c>
      <c r="V52">
        <f t="shared" si="12"/>
        <v>1396804935.1492033</v>
      </c>
    </row>
    <row r="53" spans="20:22" x14ac:dyDescent="0.25">
      <c r="T53">
        <v>0.62</v>
      </c>
      <c r="U53">
        <f t="shared" si="11"/>
        <v>3797476017.9349318</v>
      </c>
      <c r="V53">
        <f t="shared" si="12"/>
        <v>1394476017.934932</v>
      </c>
    </row>
    <row r="54" spans="20:22" x14ac:dyDescent="0.25">
      <c r="T54">
        <v>0.64</v>
      </c>
      <c r="U54">
        <f t="shared" si="11"/>
        <v>3789729413.3911419</v>
      </c>
      <c r="V54">
        <f t="shared" si="12"/>
        <v>1386729413.3911417</v>
      </c>
    </row>
    <row r="55" spans="20:22" x14ac:dyDescent="0.25">
      <c r="T55">
        <v>0.66</v>
      </c>
      <c r="U55">
        <f t="shared" si="11"/>
        <v>3776213106.8017735</v>
      </c>
      <c r="V55">
        <f t="shared" si="12"/>
        <v>1373213106.8017735</v>
      </c>
    </row>
    <row r="56" spans="20:22" x14ac:dyDescent="0.25">
      <c r="T56">
        <v>0.68</v>
      </c>
      <c r="U56">
        <f t="shared" si="11"/>
        <v>3756575431.2747259</v>
      </c>
      <c r="V56">
        <f t="shared" si="12"/>
        <v>1353575431.2747262</v>
      </c>
    </row>
    <row r="57" spans="20:22" x14ac:dyDescent="0.25">
      <c r="T57">
        <v>0.7</v>
      </c>
      <c r="U57">
        <f t="shared" si="11"/>
        <v>3730477617.0212355</v>
      </c>
      <c r="V57">
        <f t="shared" si="12"/>
        <v>1327477617.0212355</v>
      </c>
    </row>
    <row r="58" spans="20:22" x14ac:dyDescent="0.25">
      <c r="T58">
        <v>0.72</v>
      </c>
      <c r="U58">
        <f t="shared" si="11"/>
        <v>3697609846.9394932</v>
      </c>
      <c r="V58">
        <f t="shared" si="12"/>
        <v>1294609846.9394932</v>
      </c>
    </row>
    <row r="59" spans="20:22" x14ac:dyDescent="0.25">
      <c r="T59">
        <v>0.74</v>
      </c>
      <c r="U59">
        <f t="shared" si="11"/>
        <v>3657710762.1521635</v>
      </c>
      <c r="V59">
        <f t="shared" si="12"/>
        <v>1254710762.1521633</v>
      </c>
    </row>
    <row r="60" spans="20:22" x14ac:dyDescent="0.25">
      <c r="T60">
        <v>0.76</v>
      </c>
      <c r="U60">
        <f t="shared" si="11"/>
        <v>3610589839.5852242</v>
      </c>
      <c r="V60">
        <f t="shared" si="12"/>
        <v>1207589839.5852244</v>
      </c>
    </row>
    <row r="61" spans="20:22" x14ac:dyDescent="0.25">
      <c r="T61">
        <v>0.78</v>
      </c>
      <c r="U61">
        <f t="shared" si="11"/>
        <v>3556151297.718586</v>
      </c>
      <c r="V61">
        <f t="shared" si="12"/>
        <v>1153151297.7185857</v>
      </c>
    </row>
    <row r="62" spans="20:22" x14ac:dyDescent="0.25">
      <c r="T62">
        <v>0.8</v>
      </c>
      <c r="U62">
        <f t="shared" si="11"/>
        <v>3494417143.1471434</v>
      </c>
      <c r="V62">
        <f t="shared" si="12"/>
        <v>1091417143.1471431</v>
      </c>
    </row>
    <row r="66" spans="20:24" x14ac:dyDescent="0.25">
      <c r="T66" s="1" t="s">
        <v>100</v>
      </c>
      <c r="U66" s="1" t="s">
        <v>101</v>
      </c>
      <c r="V66" s="1" t="s">
        <v>102</v>
      </c>
      <c r="W66" s="1" t="s">
        <v>105</v>
      </c>
      <c r="X66">
        <f>MAX(U67:U107)</f>
        <v>3766242216.1859674</v>
      </c>
    </row>
    <row r="67" spans="20:24" x14ac:dyDescent="0.25">
      <c r="T67">
        <v>0.1</v>
      </c>
      <c r="U67">
        <f xml:space="preserve"> V67 + $P$7 + $P$8</f>
        <v>3493852084.7688351</v>
      </c>
      <c r="V67">
        <f xml:space="preserve"> T67
  * ( 1/(1+EXP($I$6 + $H$6*T67)) )
  * ( $C$6 * POWER( ( (1-T67) / (1-$B$6) ), $D$6 ) )</f>
        <v>100852084.76883502</v>
      </c>
      <c r="W67" s="1" t="s">
        <v>106</v>
      </c>
      <c r="X67" s="20">
        <f>INDEX(T67:T107, MATCH(X66, U67:U107, 0))</f>
        <v>0.48</v>
      </c>
    </row>
    <row r="68" spans="20:24" x14ac:dyDescent="0.25">
      <c r="T68">
        <v>0.12</v>
      </c>
      <c r="U68">
        <f t="shared" ref="U68:U102" si="13" xml:space="preserve"> V68 + $P$7 + $P$8</f>
        <v>3513651327.7503095</v>
      </c>
      <c r="V68">
        <f t="shared" ref="V68:V102" si="14" xml:space="preserve"> T68
  * ( 1/(1+EXP($I$6 + $H$6*T68)) )
  * ( $C$6 * POWER( ( (1-T68) / (1-$B$6) ), $D$6 ) )</f>
        <v>120651327.75030944</v>
      </c>
    </row>
    <row r="69" spans="20:24" x14ac:dyDescent="0.25">
      <c r="T69">
        <v>0.14000000000000001</v>
      </c>
      <c r="U69">
        <f t="shared" si="13"/>
        <v>3533292045.1677809</v>
      </c>
      <c r="V69">
        <f t="shared" si="14"/>
        <v>140292045.16778073</v>
      </c>
    </row>
    <row r="70" spans="20:24" x14ac:dyDescent="0.25">
      <c r="T70">
        <v>0.16</v>
      </c>
      <c r="U70">
        <f t="shared" si="13"/>
        <v>3552751178.9325933</v>
      </c>
      <c r="V70">
        <f t="shared" si="14"/>
        <v>159751178.93259338</v>
      </c>
    </row>
    <row r="71" spans="20:24" x14ac:dyDescent="0.25">
      <c r="T71">
        <v>0.18</v>
      </c>
      <c r="U71">
        <f t="shared" si="13"/>
        <v>3571999510.8703895</v>
      </c>
      <c r="V71">
        <f t="shared" si="14"/>
        <v>178999510.87038952</v>
      </c>
    </row>
    <row r="72" spans="20:24" x14ac:dyDescent="0.25">
      <c r="T72">
        <v>0.2</v>
      </c>
      <c r="U72">
        <f t="shared" si="13"/>
        <v>3591000000</v>
      </c>
      <c r="V72">
        <f t="shared" si="14"/>
        <v>198000000</v>
      </c>
    </row>
    <row r="73" spans="20:24" x14ac:dyDescent="0.25">
      <c r="T73">
        <v>0.22</v>
      </c>
      <c r="U73">
        <f t="shared" si="13"/>
        <v>3609705721.0328879</v>
      </c>
      <c r="V73">
        <f t="shared" si="14"/>
        <v>216705721.03288782</v>
      </c>
    </row>
    <row r="74" spans="20:24" x14ac:dyDescent="0.25">
      <c r="T74">
        <v>0.24</v>
      </c>
      <c r="U74">
        <f t="shared" si="13"/>
        <v>3628057337.8274503</v>
      </c>
      <c r="V74">
        <f t="shared" si="14"/>
        <v>235057337.82745022</v>
      </c>
    </row>
    <row r="75" spans="20:24" x14ac:dyDescent="0.25">
      <c r="T75">
        <v>0.26</v>
      </c>
      <c r="U75">
        <f t="shared" si="13"/>
        <v>3645980052.877965</v>
      </c>
      <c r="V75">
        <f t="shared" si="14"/>
        <v>252980052.87796518</v>
      </c>
    </row>
    <row r="76" spans="20:24" x14ac:dyDescent="0.25">
      <c r="T76">
        <v>0.28000000000000003</v>
      </c>
      <c r="U76">
        <f t="shared" si="13"/>
        <v>3663379996.3274188</v>
      </c>
      <c r="V76">
        <f t="shared" si="14"/>
        <v>270379996.3274188</v>
      </c>
    </row>
    <row r="77" spans="20:24" x14ac:dyDescent="0.25">
      <c r="T77">
        <v>0.3</v>
      </c>
      <c r="U77">
        <f t="shared" si="13"/>
        <v>3680140064.9538012</v>
      </c>
      <c r="V77">
        <f t="shared" si="14"/>
        <v>287140064.95380092</v>
      </c>
    </row>
    <row r="78" spans="20:24" x14ac:dyDescent="0.25">
      <c r="T78">
        <v>0.32</v>
      </c>
      <c r="U78">
        <f t="shared" si="13"/>
        <v>3696115306.1906548</v>
      </c>
      <c r="V78">
        <f t="shared" si="14"/>
        <v>303115306.19065481</v>
      </c>
    </row>
    <row r="79" spans="20:24" x14ac:dyDescent="0.25">
      <c r="T79">
        <v>0.34</v>
      </c>
      <c r="U79">
        <f t="shared" si="13"/>
        <v>3711128081.1236773</v>
      </c>
      <c r="V79">
        <f t="shared" si="14"/>
        <v>318128081.12367707</v>
      </c>
    </row>
    <row r="80" spans="20:24" x14ac:dyDescent="0.25">
      <c r="T80">
        <v>0.36</v>
      </c>
      <c r="U80">
        <f t="shared" si="13"/>
        <v>3724963451.91924</v>
      </c>
      <c r="V80">
        <f t="shared" si="14"/>
        <v>331963451.91924</v>
      </c>
    </row>
    <row r="81" spans="20:22" x14ac:dyDescent="0.25">
      <c r="T81">
        <v>0.38</v>
      </c>
      <c r="U81">
        <f t="shared" si="13"/>
        <v>3737365538.2766747</v>
      </c>
      <c r="V81">
        <f t="shared" si="14"/>
        <v>344365538.27667481</v>
      </c>
    </row>
    <row r="82" spans="20:22" x14ac:dyDescent="0.25">
      <c r="T82">
        <v>0.4</v>
      </c>
      <c r="U82">
        <f t="shared" si="13"/>
        <v>3748035975.1003361</v>
      </c>
      <c r="V82">
        <f t="shared" si="14"/>
        <v>355035975.10033625</v>
      </c>
    </row>
    <row r="83" spans="20:22" x14ac:dyDescent="0.25">
      <c r="T83">
        <v>0.42</v>
      </c>
      <c r="U83">
        <f t="shared" si="13"/>
        <v>3756636047.6706686</v>
      </c>
      <c r="V83">
        <f t="shared" si="14"/>
        <v>363636047.67066842</v>
      </c>
    </row>
    <row r="84" spans="20:22" x14ac:dyDescent="0.25">
      <c r="T84">
        <v>0.44</v>
      </c>
      <c r="U84">
        <f t="shared" si="13"/>
        <v>3762794489.5481234</v>
      </c>
      <c r="V84">
        <f t="shared" si="14"/>
        <v>369794489.5481236</v>
      </c>
    </row>
    <row r="85" spans="20:22" x14ac:dyDescent="0.25">
      <c r="T85">
        <v>0.46</v>
      </c>
      <c r="U85">
        <f t="shared" si="13"/>
        <v>3766123122.4080787</v>
      </c>
      <c r="V85">
        <f t="shared" si="14"/>
        <v>373123122.40807861</v>
      </c>
    </row>
    <row r="86" spans="20:22" x14ac:dyDescent="0.25">
      <c r="T86">
        <v>0.48</v>
      </c>
      <c r="U86">
        <f t="shared" si="13"/>
        <v>3766242216.1859674</v>
      </c>
      <c r="V86">
        <f t="shared" si="14"/>
        <v>373242216.18596768</v>
      </c>
    </row>
    <row r="87" spans="20:22" x14ac:dyDescent="0.25">
      <c r="T87">
        <v>0.5</v>
      </c>
      <c r="U87">
        <f t="shared" si="13"/>
        <v>3762816313.3429427</v>
      </c>
      <c r="V87">
        <f t="shared" si="14"/>
        <v>369816313.34294271</v>
      </c>
    </row>
    <row r="88" spans="20:22" x14ac:dyDescent="0.25">
      <c r="T88">
        <v>0.52</v>
      </c>
      <c r="U88">
        <f t="shared" si="13"/>
        <v>3755599031.5127697</v>
      </c>
      <c r="V88">
        <f t="shared" si="14"/>
        <v>362599031.51276994</v>
      </c>
    </row>
    <row r="89" spans="20:22" x14ac:dyDescent="0.25">
      <c r="T89">
        <v>0.54</v>
      </c>
      <c r="U89">
        <f t="shared" si="13"/>
        <v>3744482100.2320051</v>
      </c>
      <c r="V89">
        <f t="shared" si="14"/>
        <v>351482100.23200518</v>
      </c>
    </row>
    <row r="90" spans="20:22" x14ac:dyDescent="0.25">
      <c r="T90">
        <v>0.56000000000000005</v>
      </c>
      <c r="U90">
        <f t="shared" si="13"/>
        <v>3729540279.5744734</v>
      </c>
      <c r="V90">
        <f t="shared" si="14"/>
        <v>336540279.57447356</v>
      </c>
    </row>
    <row r="91" spans="20:22" x14ac:dyDescent="0.25">
      <c r="T91">
        <v>0.57999999999999996</v>
      </c>
      <c r="U91">
        <f t="shared" si="13"/>
        <v>3711061251.1301584</v>
      </c>
      <c r="V91">
        <f t="shared" si="14"/>
        <v>318061251.13015854</v>
      </c>
    </row>
    <row r="92" spans="20:22" x14ac:dyDescent="0.25">
      <c r="T92">
        <v>0.6</v>
      </c>
      <c r="U92">
        <f t="shared" si="13"/>
        <v>3689549820.546001</v>
      </c>
      <c r="V92">
        <f t="shared" si="14"/>
        <v>296549820.54600084</v>
      </c>
    </row>
    <row r="93" spans="20:22" x14ac:dyDescent="0.25">
      <c r="T93">
        <v>0.62</v>
      </c>
      <c r="U93">
        <f t="shared" si="13"/>
        <v>3665700001.939187</v>
      </c>
      <c r="V93">
        <f t="shared" si="14"/>
        <v>272700001.93918729</v>
      </c>
    </row>
    <row r="94" spans="20:22" x14ac:dyDescent="0.25">
      <c r="T94">
        <v>0.64</v>
      </c>
      <c r="U94">
        <f t="shared" si="13"/>
        <v>3640336268.7396183</v>
      </c>
      <c r="V94">
        <f t="shared" si="14"/>
        <v>247336268.739618</v>
      </c>
    </row>
    <row r="95" spans="20:22" x14ac:dyDescent="0.25">
      <c r="T95">
        <v>0.66</v>
      </c>
      <c r="U95">
        <f t="shared" si="13"/>
        <v>3614333903.6878858</v>
      </c>
      <c r="V95">
        <f t="shared" si="14"/>
        <v>221333903.68788567</v>
      </c>
    </row>
    <row r="96" spans="20:22" x14ac:dyDescent="0.25">
      <c r="T96">
        <v>0.68</v>
      </c>
      <c r="U96">
        <f t="shared" si="13"/>
        <v>3588534377.1327872</v>
      </c>
      <c r="V96">
        <f t="shared" si="14"/>
        <v>195534377.13278714</v>
      </c>
    </row>
    <row r="97" spans="20:22" x14ac:dyDescent="0.25">
      <c r="T97">
        <v>0.7</v>
      </c>
      <c r="U97">
        <f t="shared" si="13"/>
        <v>3563672410.7565937</v>
      </c>
      <c r="V97">
        <f t="shared" si="14"/>
        <v>170672410.75659397</v>
      </c>
    </row>
    <row r="98" spans="20:22" x14ac:dyDescent="0.25">
      <c r="T98">
        <v>0.72</v>
      </c>
      <c r="U98">
        <f t="shared" si="13"/>
        <v>3540326772.1499276</v>
      </c>
      <c r="V98">
        <f t="shared" si="14"/>
        <v>147326772.14992774</v>
      </c>
    </row>
    <row r="99" spans="20:22" x14ac:dyDescent="0.25">
      <c r="T99">
        <v>0.74</v>
      </c>
      <c r="U99">
        <f t="shared" si="13"/>
        <v>3518899288.0355282</v>
      </c>
      <c r="V99">
        <f t="shared" si="14"/>
        <v>125899288.03552809</v>
      </c>
    </row>
    <row r="100" spans="20:22" x14ac:dyDescent="0.25">
      <c r="T100">
        <v>0.76</v>
      </c>
      <c r="U100">
        <f t="shared" si="13"/>
        <v>3499619325.74863</v>
      </c>
      <c r="V100">
        <f t="shared" si="14"/>
        <v>106619325.74863008</v>
      </c>
    </row>
    <row r="101" spans="20:22" x14ac:dyDescent="0.25">
      <c r="T101">
        <v>0.78</v>
      </c>
      <c r="U101">
        <f t="shared" si="13"/>
        <v>3482566414.7055945</v>
      </c>
      <c r="V101">
        <f t="shared" si="14"/>
        <v>89566414.705594495</v>
      </c>
    </row>
    <row r="102" spans="20:22" x14ac:dyDescent="0.25">
      <c r="T102">
        <v>0.79999999999999905</v>
      </c>
      <c r="U102">
        <f t="shared" si="13"/>
        <v>3467702368.7747059</v>
      </c>
      <c r="V102">
        <f t="shared" si="14"/>
        <v>74702368.77470614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UK Progressive taxation system</vt:lpstr>
      <vt:lpstr>UK Prog with Laffer -incomplete</vt:lpstr>
      <vt:lpstr>Elasticity of taxable income</vt:lpstr>
      <vt:lpstr>ETI_Laffer_Simple</vt:lpstr>
      <vt:lpstr>ETI_Laffer_Simp_Comp</vt:lpstr>
      <vt:lpstr>Logistic regression example</vt:lpstr>
      <vt:lpstr>ETI_Laffer_Logit_Comp</vt:lpstr>
      <vt:lpstr>Multi-bracket model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Sweatman</dc:creator>
  <cp:lastModifiedBy>Andrew Sweatman</cp:lastModifiedBy>
  <dcterms:created xsi:type="dcterms:W3CDTF">2025-09-17T12:55:46Z</dcterms:created>
  <dcterms:modified xsi:type="dcterms:W3CDTF">2025-10-22T20:12:30Z</dcterms:modified>
</cp:coreProperties>
</file>